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C580B946-477A-41C9-8322-60FB9775B729}" xr6:coauthVersionLast="47" xr6:coauthVersionMax="47" xr10:uidLastSave="{00000000-0000-0000-0000-000000000000}"/>
  <bookViews>
    <workbookView xWindow="31785" yWindow="2385" windowWidth="20265" windowHeight="13290" tabRatio="681" activeTab="3" xr2:uid="{00000000-000D-0000-FFFF-FFFF00000000}"/>
  </bookViews>
  <sheets>
    <sheet name="Situatia pozitiei financiare" sheetId="13" r:id="rId1"/>
    <sheet name="Situatia rezultatului global" sheetId="12" r:id="rId2"/>
    <sheet name="Situatia fluxurilor de numerar" sheetId="10" r:id="rId3"/>
    <sheet name="Indicatori operationali" sheetId="14" r:id="rId4"/>
  </sheets>
  <calcPr calcId="191029"/>
</workbook>
</file>

<file path=xl/calcChain.xml><?xml version="1.0" encoding="utf-8"?>
<calcChain xmlns="http://schemas.openxmlformats.org/spreadsheetml/2006/main">
  <c r="D10" i="13" l="1"/>
  <c r="B24" i="12" l="1"/>
  <c r="B14" i="10" l="1"/>
  <c r="B8" i="12"/>
  <c r="C41" i="13"/>
  <c r="C40" i="13"/>
  <c r="C39" i="13"/>
  <c r="C38" i="13"/>
  <c r="D34" i="13"/>
  <c r="D33" i="13"/>
  <c r="C34" i="13"/>
  <c r="C33" i="13"/>
  <c r="C32" i="13"/>
  <c r="D28" i="13"/>
  <c r="D27" i="13"/>
  <c r="D26" i="13"/>
  <c r="D25" i="13"/>
  <c r="C28" i="13"/>
  <c r="C27" i="13"/>
  <c r="C26" i="13"/>
  <c r="C25" i="13"/>
  <c r="D18" i="13"/>
  <c r="D17" i="13"/>
  <c r="D16" i="13"/>
  <c r="D15" i="13"/>
  <c r="C18" i="13"/>
  <c r="C17" i="13"/>
  <c r="C16" i="13"/>
  <c r="C15" i="13"/>
  <c r="C11" i="13"/>
  <c r="C10" i="13"/>
  <c r="D11" i="13"/>
  <c r="C56" i="10" l="1"/>
  <c r="B56" i="10"/>
  <c r="C50" i="10"/>
  <c r="B50" i="10"/>
  <c r="C31" i="10"/>
  <c r="C22" i="10"/>
  <c r="B42" i="13"/>
  <c r="D42" i="13"/>
  <c r="C42" i="13"/>
  <c r="D35" i="13"/>
  <c r="C35" i="13"/>
  <c r="B35" i="13"/>
  <c r="D29" i="13"/>
  <c r="C29" i="13"/>
  <c r="B29" i="13"/>
  <c r="D19" i="13"/>
  <c r="C19" i="13"/>
  <c r="B19" i="13"/>
  <c r="C12" i="13"/>
  <c r="B12" i="13"/>
  <c r="C28" i="12"/>
  <c r="B28" i="12"/>
  <c r="C24" i="12"/>
  <c r="C8" i="12"/>
  <c r="B40" i="10"/>
  <c r="B22" i="10"/>
  <c r="C40" i="10"/>
  <c r="D44" i="13" l="1"/>
  <c r="D46" i="13" s="1"/>
  <c r="B29" i="12"/>
  <c r="C29" i="12"/>
  <c r="C32" i="12" s="1"/>
  <c r="C33" i="12" s="1"/>
  <c r="C34" i="12" s="1"/>
  <c r="B21" i="13"/>
  <c r="B44" i="13"/>
  <c r="B46" i="13" s="1"/>
  <c r="C21" i="13"/>
  <c r="C44" i="13"/>
  <c r="C46" i="13" s="1"/>
  <c r="B33" i="12" l="1"/>
  <c r="B34" i="12" s="1"/>
  <c r="D12" i="13"/>
  <c r="D21" i="13" s="1"/>
</calcChain>
</file>

<file path=xl/sharedStrings.xml><?xml version="1.0" encoding="utf-8"?>
<sst xmlns="http://schemas.openxmlformats.org/spreadsheetml/2006/main" count="146" uniqueCount="128">
  <si>
    <t>Mod de calcul</t>
  </si>
  <si>
    <t>Lichiditate curenta</t>
  </si>
  <si>
    <t>Active curente/Datorii curente</t>
  </si>
  <si>
    <t xml:space="preserve">Grad de indatorare </t>
  </si>
  <si>
    <t>Capital imprumutat/Capital propriu *100</t>
  </si>
  <si>
    <t>Viteza de rotatie a debitelor clienti</t>
  </si>
  <si>
    <t>Sold mediu clienti/Venituri din vanzari*Timp</t>
  </si>
  <si>
    <t xml:space="preserve">Viteza de rotatie a activelor imobilizate </t>
  </si>
  <si>
    <t>Unitate de masura</t>
  </si>
  <si>
    <t>zile</t>
  </si>
  <si>
    <t>numar rotatii</t>
  </si>
  <si>
    <t>%</t>
  </si>
  <si>
    <t>numar de ori</t>
  </si>
  <si>
    <t>ACTIVE</t>
  </si>
  <si>
    <t>ACTIVE IMOBILIZATE</t>
  </si>
  <si>
    <t>Imobilizari corporale</t>
  </si>
  <si>
    <t>Imobilizari necorporale</t>
  </si>
  <si>
    <t>TOTAL ACTIVE IMOBILIZATE</t>
  </si>
  <si>
    <t>ACTIVE CIRCULANTE</t>
  </si>
  <si>
    <t>Stocuri</t>
  </si>
  <si>
    <t>Creante comerciale si similare</t>
  </si>
  <si>
    <t>TOTAL ACTIVE  CIRCULANTE</t>
  </si>
  <si>
    <t>TOTAL ACTIVE</t>
  </si>
  <si>
    <t>DATORII CURENTE</t>
  </si>
  <si>
    <t>Datorii comerciale si similare</t>
  </si>
  <si>
    <t>TOTAL  DATORII CURENTE</t>
  </si>
  <si>
    <t>DATORII PE TERMEN LUNG</t>
  </si>
  <si>
    <t>TOTAL DATORII</t>
  </si>
  <si>
    <t>Rezerve din reevaluare</t>
  </si>
  <si>
    <t>Rezultat reportat</t>
  </si>
  <si>
    <t>TOTAL CAPITALURI PROPRII</t>
  </si>
  <si>
    <t>TOTAL CAPITALURI SI DATORII</t>
  </si>
  <si>
    <t>Alte venituri din exploatare</t>
  </si>
  <si>
    <t>Indicatori operationali</t>
  </si>
  <si>
    <t>Indicatori</t>
  </si>
  <si>
    <t>(sumele sunt exprimate in lei)</t>
  </si>
  <si>
    <t>S.C. ANTIBIOTICE S.A</t>
  </si>
  <si>
    <t>CUI: RO 1973096</t>
  </si>
  <si>
    <t>Cheltuieli inregistrate in avans</t>
  </si>
  <si>
    <t>Numerar si depozite pe termen scurt</t>
  </si>
  <si>
    <t>CAPITAL PROPRIU SI DATORII</t>
  </si>
  <si>
    <t>CAPITAL PROPRIU</t>
  </si>
  <si>
    <t>Capital subscris</t>
  </si>
  <si>
    <t>Rezerve legale si alte rezerve</t>
  </si>
  <si>
    <t>Imprumuturi si datorii bancare</t>
  </si>
  <si>
    <t>Subventii pentru investitii - portiune necurenta</t>
  </si>
  <si>
    <t>Datorii privind impozitele amanate</t>
  </si>
  <si>
    <t>TOTAL DATORII PE TERMEN LUNG</t>
  </si>
  <si>
    <t>Imprumuturi bancare</t>
  </si>
  <si>
    <t>Venituri din contractele cu clientii, din care:</t>
  </si>
  <si>
    <t>Venituri din vanzarea de produse finite</t>
  </si>
  <si>
    <t>Venituri din vanzarea produselor realizate pe alte site-uri de fabricatie</t>
  </si>
  <si>
    <t>Venituri din prestarea de servicii</t>
  </si>
  <si>
    <t>Venituri din subventii</t>
  </si>
  <si>
    <t>Modificari in cadrul stocurilor de produse finite si productie in curs</t>
  </si>
  <si>
    <t>Venituri din proiecte de imobilizari</t>
  </si>
  <si>
    <t>Cheltuieli cu beneficiile angajatilor</t>
  </si>
  <si>
    <t>Cheltuieli de transport</t>
  </si>
  <si>
    <t>Cheltuieli cu utilitatile</t>
  </si>
  <si>
    <t>Amortizare si ajustarile pentru deprecierea activelor imobilizate, net</t>
  </si>
  <si>
    <t>Ajustarile pentru deprecierea activelor circulante, net</t>
  </si>
  <si>
    <t>Sponsorizari, donatii</t>
  </si>
  <si>
    <t>Alte cheltuieli</t>
  </si>
  <si>
    <t>Rezultat operational</t>
  </si>
  <si>
    <t>Diferente de curs valutar, net</t>
  </si>
  <si>
    <t>Cheltuieli privind dobanzile, net</t>
  </si>
  <si>
    <t>Alte cheltuieli financiare</t>
  </si>
  <si>
    <t>Rezultatul financiar</t>
  </si>
  <si>
    <t>Profitul inainte de impozitare</t>
  </si>
  <si>
    <t>Cheltuiala cu impozitul pe profit</t>
  </si>
  <si>
    <t>Profitul exercitiului financiar</t>
  </si>
  <si>
    <t>Rezultat pe actiune</t>
  </si>
  <si>
    <t>Profit înaintea impozitării</t>
  </si>
  <si>
    <t>Ajustari pentru:</t>
  </si>
  <si>
    <t>Amortizare aferentă imobilizărilor necorporale</t>
  </si>
  <si>
    <t>Amortizare aferentă imobilizărilor corporale</t>
  </si>
  <si>
    <t>Income tax</t>
  </si>
  <si>
    <t>Cheltuieli/(Venituri) aferente ajustarilor de valoare mijloace fixe</t>
  </si>
  <si>
    <t>Cheltuieli/(Venituri) aferente provizioanelor de stocuri</t>
  </si>
  <si>
    <t>Cheltuieli/(Venituri) aferente provizioanelor de clienţi şi conturi asimilate</t>
  </si>
  <si>
    <t>Cheltuieli/(Venituri) aferente provizioanelor pentru riscuri şi cheltuieli</t>
  </si>
  <si>
    <t>(Câştig net)/Pierdere netă din ieşirea de imobilizări corporale</t>
  </si>
  <si>
    <t>Ajustari pentru pierderi/(câștig) din curs valutar</t>
  </si>
  <si>
    <t>Cheltuieli cu dobânzile</t>
  </si>
  <si>
    <t>Venituri din dobânzi</t>
  </si>
  <si>
    <t>Flux de trezorerie generat din activitatea de exploatare înainte de modificări ale capitalului circulant</t>
  </si>
  <si>
    <t>(Creşteri)/Descreşteri de creanţe</t>
  </si>
  <si>
    <t>(Creşteri)/Descreşteri de cheltuieli în avans</t>
  </si>
  <si>
    <t>(Creşteri)/Descreşteri de stocuri</t>
  </si>
  <si>
    <t>Creşteri / (descreşteri) de datorii</t>
  </si>
  <si>
    <t>Creşteri / (descreşteri) de venituri in avans</t>
  </si>
  <si>
    <t>Dobânzi plătite</t>
  </si>
  <si>
    <t>Dobânzi încasate</t>
  </si>
  <si>
    <t>Impozit pe profit plătit</t>
  </si>
  <si>
    <t>Numerar net din activităţi de exploatare</t>
  </si>
  <si>
    <t>Fluxuri de numerar din activităţi de investiţie</t>
  </si>
  <si>
    <t>Achiziţii de active corporale</t>
  </si>
  <si>
    <t>Achizitii de active necorporale</t>
  </si>
  <si>
    <t>Împrumuturi (acordate)/restituite și imobilizări financiare</t>
  </si>
  <si>
    <t xml:space="preserve">Încasări din vânzarea de imobilizări </t>
  </si>
  <si>
    <t>Dividende incasate</t>
  </si>
  <si>
    <t>(Achiziție)/Vânzare de acțiuni proprii</t>
  </si>
  <si>
    <t>Numerar net din activităţi de investiţie</t>
  </si>
  <si>
    <t>Fluxuri de numerar din activităţi de finanţare</t>
  </si>
  <si>
    <t>Creşterea/(Scăderea) utilizării liniei de credit</t>
  </si>
  <si>
    <t>Încasare/(Rambursare) împrumut termen lung</t>
  </si>
  <si>
    <t>Încasare/(Rambursare) împrumut de la actionari/asociati</t>
  </si>
  <si>
    <t>Plăţi din leasing financiar</t>
  </si>
  <si>
    <t>Crestere/descrestere subventii</t>
  </si>
  <si>
    <t>Dividende plătite</t>
  </si>
  <si>
    <t>Modificări ale capitalului social majorare/(diminuare)</t>
  </si>
  <si>
    <t>Numerar net din activităţi de finanţare</t>
  </si>
  <si>
    <t>(Descreşterea)/Creşterea netă a numerarului şi echivalentelor de numerar</t>
  </si>
  <si>
    <t>Numerar şi echivalente de numerar la începutul exerciţiului financiar</t>
  </si>
  <si>
    <t>Efectul cursului de schimb valutar asupra miscarii numerarului si a echivalentelor de numerar</t>
  </si>
  <si>
    <t>Numerar şi echivalentele de numerar la sfârşitul exerciţiului financiar</t>
  </si>
  <si>
    <t>Cheltuieli cu materiile prime, consumabile folosite si produsele realizate pe alte site-uri de fabricatie</t>
  </si>
  <si>
    <t>RO1973096</t>
  </si>
  <si>
    <t>30.09.2024</t>
  </si>
  <si>
    <t>Alte datorii</t>
  </si>
  <si>
    <t>Subventii pentru investitii - portiune curenta</t>
  </si>
  <si>
    <t>Cifra de afaceri/Active imobilizate</t>
  </si>
  <si>
    <t>Total rezultat global</t>
  </si>
  <si>
    <t>31.12.2024</t>
  </si>
  <si>
    <t>30.09.2025</t>
  </si>
  <si>
    <t>Situatia pozitiei financiare la data de 30 septembrie 2025</t>
  </si>
  <si>
    <t>Situatia rezultatului global la data de 30 septembrie 2025</t>
  </si>
  <si>
    <t>Situatia fluxurilor de trezorerie 30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</si>
</sst>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  <charset val="238"/>
      <scheme val="minor"/>
    </font>
    <font>
      <sz val="10"/>
      <name val="Trebuchet MS"/>
      <family val="2"/>
    </font>
    <font>
      <sz val="11"/>
      <color indexed="8"/>
      <name val="Calibri"/>
      <family val="2"/>
      <charset val="238"/>
    </font>
    <font>
      <sz val="10"/>
      <color indexed="8"/>
      <name val="Trebuchet MS"/>
      <family val="2"/>
    </font>
    <font>
      <b/>
      <sz val="10"/>
      <color theme="0"/>
      <name val="Trebuchet MS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Trebuchet MS"/>
      <family val="2"/>
    </font>
    <font>
      <b/>
      <sz val="11"/>
      <color theme="0"/>
      <name val="Calibri"/>
      <family val="2"/>
      <scheme val="minor"/>
    </font>
    <font>
      <b/>
      <sz val="10"/>
      <name val="Trebuchet MS"/>
      <family val="2"/>
    </font>
    <font>
      <i/>
      <sz val="10"/>
      <color theme="1"/>
      <name val="Trebuchet MS"/>
      <family val="2"/>
    </font>
    <font>
      <sz val="10"/>
      <color theme="0"/>
      <name val="Trebuchet MS"/>
      <family val="2"/>
    </font>
    <font>
      <i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11" fillId="0" borderId="0"/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0" xfId="0" applyFont="1"/>
    <xf numFmtId="0" fontId="12" fillId="0" borderId="0" xfId="0" applyFont="1"/>
    <xf numFmtId="0" fontId="13" fillId="0" borderId="0" xfId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/>
    <xf numFmtId="165" fontId="0" fillId="0" borderId="0" xfId="6" applyNumberFormat="1" applyFont="1"/>
    <xf numFmtId="3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0" borderId="0" xfId="0" applyFont="1" applyAlignment="1">
      <alignment vertical="center" wrapText="1"/>
    </xf>
    <xf numFmtId="3" fontId="12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2" fontId="0" fillId="0" borderId="0" xfId="0" applyNumberFormat="1"/>
    <xf numFmtId="10" fontId="2" fillId="0" borderId="0" xfId="8" applyNumberFormat="1" applyFont="1" applyAlignment="1">
      <alignment vertical="top"/>
    </xf>
    <xf numFmtId="43" fontId="2" fillId="0" borderId="0" xfId="6" applyFont="1" applyAlignment="1">
      <alignment vertical="top"/>
    </xf>
    <xf numFmtId="43" fontId="0" fillId="0" borderId="0" xfId="6" applyFont="1"/>
    <xf numFmtId="4" fontId="0" fillId="0" borderId="0" xfId="6" applyNumberFormat="1" applyFont="1"/>
    <xf numFmtId="10" fontId="0" fillId="0" borderId="0" xfId="8" applyNumberFormat="1" applyFont="1"/>
    <xf numFmtId="165" fontId="2" fillId="0" borderId="0" xfId="6" applyNumberFormat="1" applyFont="1" applyAlignment="1">
      <alignment vertical="top"/>
    </xf>
    <xf numFmtId="43" fontId="2" fillId="0" borderId="0" xfId="6" applyFont="1" applyAlignment="1">
      <alignment horizontal="right" vertical="top"/>
    </xf>
    <xf numFmtId="0" fontId="8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0" fillId="3" borderId="5" xfId="0" applyFill="1" applyBorder="1"/>
    <xf numFmtId="165" fontId="0" fillId="3" borderId="6" xfId="6" applyNumberFormat="1" applyFont="1" applyFill="1" applyBorder="1"/>
    <xf numFmtId="0" fontId="3" fillId="0" borderId="4" xfId="0" applyFont="1" applyBorder="1" applyAlignment="1">
      <alignment vertical="center"/>
    </xf>
    <xf numFmtId="0" fontId="0" fillId="0" borderId="5" xfId="0" applyBorder="1"/>
    <xf numFmtId="165" fontId="0" fillId="0" borderId="6" xfId="6" applyNumberFormat="1" applyFont="1" applyBorder="1"/>
    <xf numFmtId="0" fontId="3" fillId="3" borderId="4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0" fillId="3" borderId="6" xfId="0" applyFill="1" applyBorder="1"/>
    <xf numFmtId="3" fontId="2" fillId="3" borderId="5" xfId="0" applyNumberFormat="1" applyFont="1" applyFill="1" applyBorder="1" applyAlignment="1">
      <alignment horizontal="right"/>
    </xf>
    <xf numFmtId="0" fontId="17" fillId="0" borderId="4" xfId="0" applyFont="1" applyBorder="1" applyAlignment="1">
      <alignment vertical="center"/>
    </xf>
    <xf numFmtId="3" fontId="17" fillId="0" borderId="5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0" fontId="0" fillId="0" borderId="6" xfId="0" applyBorder="1"/>
    <xf numFmtId="3" fontId="0" fillId="0" borderId="5" xfId="0" applyNumberFormat="1" applyBorder="1"/>
    <xf numFmtId="0" fontId="2" fillId="0" borderId="4" xfId="0" applyFont="1" applyBorder="1"/>
    <xf numFmtId="0" fontId="17" fillId="3" borderId="1" xfId="0" applyFont="1" applyFill="1" applyBorder="1" applyAlignment="1">
      <alignment vertical="center"/>
    </xf>
    <xf numFmtId="3" fontId="17" fillId="3" borderId="2" xfId="0" applyNumberFormat="1" applyFont="1" applyFill="1" applyBorder="1" applyAlignment="1">
      <alignment horizontal="right" vertical="center"/>
    </xf>
    <xf numFmtId="3" fontId="17" fillId="3" borderId="3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165" fontId="19" fillId="0" borderId="0" xfId="6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65" fontId="5" fillId="0" borderId="0" xfId="6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7" applyFont="1" applyAlignment="1">
      <alignment vertical="center" wrapText="1"/>
    </xf>
    <xf numFmtId="0" fontId="19" fillId="0" borderId="0" xfId="0" applyFont="1" applyAlignment="1">
      <alignment vertical="center" wrapText="1"/>
    </xf>
    <xf numFmtId="165" fontId="1" fillId="0" borderId="0" xfId="6" applyNumberFormat="1" applyFont="1" applyAlignment="1">
      <alignment vertical="center"/>
    </xf>
    <xf numFmtId="165" fontId="5" fillId="0" borderId="0" xfId="6" applyNumberFormat="1" applyFont="1" applyFill="1" applyAlignment="1">
      <alignment vertical="center"/>
    </xf>
    <xf numFmtId="0" fontId="22" fillId="0" borderId="0" xfId="0" applyFont="1" applyAlignment="1">
      <alignment vertical="center" wrapText="1"/>
    </xf>
    <xf numFmtId="165" fontId="2" fillId="0" borderId="0" xfId="6" applyNumberFormat="1" applyFont="1" applyFill="1" applyAlignment="1">
      <alignment vertical="center"/>
    </xf>
    <xf numFmtId="165" fontId="19" fillId="0" borderId="0" xfId="6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165" fontId="1" fillId="0" borderId="0" xfId="6" applyNumberFormat="1" applyFont="1" applyFill="1" applyAlignment="1">
      <alignment vertical="center"/>
    </xf>
    <xf numFmtId="166" fontId="19" fillId="0" borderId="0" xfId="6" applyNumberFormat="1" applyFont="1" applyAlignment="1">
      <alignment vertical="center"/>
    </xf>
    <xf numFmtId="166" fontId="19" fillId="0" borderId="0" xfId="6" applyNumberFormat="1" applyFont="1" applyFill="1" applyAlignment="1">
      <alignment vertical="center"/>
    </xf>
    <xf numFmtId="0" fontId="8" fillId="0" borderId="0" xfId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3" fontId="16" fillId="0" borderId="0" xfId="0" applyNumberFormat="1" applyFont="1"/>
    <xf numFmtId="3" fontId="16" fillId="0" borderId="7" xfId="0" applyNumberFormat="1" applyFont="1" applyBorder="1"/>
    <xf numFmtId="37" fontId="16" fillId="0" borderId="0" xfId="0" applyNumberFormat="1" applyFont="1"/>
    <xf numFmtId="37" fontId="16" fillId="0" borderId="7" xfId="0" applyNumberFormat="1" applyFont="1" applyBorder="1"/>
    <xf numFmtId="3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7" fontId="16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0" fillId="3" borderId="5" xfId="0" applyNumberFormat="1" applyFill="1" applyBorder="1"/>
    <xf numFmtId="0" fontId="12" fillId="0" borderId="0" xfId="0" applyFont="1" applyAlignment="1">
      <alignment horizontal="left" vertical="top"/>
    </xf>
  </cellXfs>
  <cellStyles count="9">
    <cellStyle name="Comma" xfId="6" builtinId="3"/>
    <cellStyle name="Comma 2" xfId="2" xr:uid="{00000000-0005-0000-0000-000001000000}"/>
    <cellStyle name="Normal" xfId="0" builtinId="0"/>
    <cellStyle name="Normal - Style1" xfId="7" xr:uid="{00000000-0005-0000-0000-000003000000}"/>
    <cellStyle name="Normal 2" xfId="1" xr:uid="{00000000-0005-0000-0000-000004000000}"/>
    <cellStyle name="Normal 3" xfId="4" xr:uid="{00000000-0005-0000-0000-000005000000}"/>
    <cellStyle name="Normal 4" xfId="5" xr:uid="{00000000-0005-0000-0000-000006000000}"/>
    <cellStyle name="Percent" xfId="8" builtinId="5"/>
    <cellStyle name="Percent 2" xfId="3" xr:uid="{00000000-0005-0000-0000-000008000000}"/>
  </cellStyles>
  <dxfs count="19"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rebuchet M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justify" vertical="top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Trebuchet MS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Trebuchet MS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2959CB-F9E5-4A63-8B7D-8790CAF84599}" name="Table37" displayName="Table37" ref="A7:C34" totalsRowShown="0" headerRowDxfId="18" dataDxfId="17" tableBorderDxfId="16" totalsRowBorderDxfId="15">
  <tableColumns count="3">
    <tableColumn id="1" xr3:uid="{4A920DEA-F24F-46AD-85EA-FC07D4F3FAB5}" name="Indicatori" dataDxfId="14"/>
    <tableColumn id="4" xr3:uid="{813746F4-0111-41ED-A177-02F6F3AEE8BB}" name="30.09.2025" dataDxfId="13" dataCellStyle="Comma"/>
    <tableColumn id="2" xr3:uid="{0CCBD6E1-398F-4342-9CC6-06385864C085}" name="30.09.2024" dataDxfId="12" dataCellStyle="Com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2" displayName="Table42" ref="A7:C56" totalsRowShown="0" headerRowDxfId="11" dataDxfId="10">
  <tableColumns count="3">
    <tableColumn id="1" xr3:uid="{00000000-0010-0000-0200-000001000000}" name="Indicatori" dataDxfId="9"/>
    <tableColumn id="2" xr3:uid="{00000000-0010-0000-0200-000002000000}" name="30.09.2025" dataDxfId="8" dataCellStyle="Comma"/>
    <tableColumn id="3" xr3:uid="{00000000-0010-0000-0200-000003000000}" name="30.09.2024" dataDxfId="7" dataCellStyle="Com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9A777-477B-44D1-BBD7-B415CD9B9152}" name="Table469" displayName="Table469" ref="A7:E11" totalsRowShown="0" headerRowDxfId="6" dataDxfId="5">
  <tableColumns count="5">
    <tableColumn id="1" xr3:uid="{770448DB-F8DF-44D2-9F76-1B9A33C615F3}" name="Indicatori" dataDxfId="4"/>
    <tableColumn id="2" xr3:uid="{CF3AE2D7-FB9F-436A-8983-8F9EF910563E}" name="Mod de calcul" dataDxfId="3"/>
    <tableColumn id="3" xr3:uid="{70CAD16E-237B-4F33-86C3-926621D6B442}" name="Unitate de masura" dataDxfId="2"/>
    <tableColumn id="7" xr3:uid="{F87F229F-0A6D-4B9A-BDB0-3643C6EE5496}" name="30.09.2025" dataDxfId="1" dataCellStyle="Comma"/>
    <tableColumn id="4" xr3:uid="{2726730A-E996-4949-A7DB-DA46AAD77305}" name="30.09.2024" dataDxfId="0" dataCellStyle="Comma">
      <calculatedColumnFormula>#REF!/#REF!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960A-3322-49F1-B6C2-48D9A41B188D}">
  <sheetPr>
    <pageSetUpPr fitToPage="1"/>
  </sheetPr>
  <dimension ref="A1:I48"/>
  <sheetViews>
    <sheetView zoomScaleNormal="100" workbookViewId="0">
      <pane ySplit="7" topLeftCell="A23" activePane="bottomLeft" state="frozen"/>
      <selection pane="bottomLeft" activeCell="G34" sqref="G34"/>
    </sheetView>
  </sheetViews>
  <sheetFormatPr defaultRowHeight="15" x14ac:dyDescent="0.35"/>
  <cols>
    <col min="1" max="1" width="40.6640625" style="4" customWidth="1"/>
    <col min="2" max="2" width="14.6640625" customWidth="1"/>
    <col min="3" max="4" width="14.6640625" bestFit="1" customWidth="1"/>
    <col min="6" max="6" width="13.33203125" style="13" customWidth="1"/>
    <col min="8" max="8" width="15.88671875" style="11" bestFit="1" customWidth="1"/>
  </cols>
  <sheetData>
    <row r="1" spans="1:4" ht="14.4" x14ac:dyDescent="0.3">
      <c r="A1" s="5" t="s">
        <v>36</v>
      </c>
    </row>
    <row r="2" spans="1:4" ht="14.4" x14ac:dyDescent="0.3">
      <c r="A2" s="5" t="s">
        <v>37</v>
      </c>
    </row>
    <row r="4" spans="1:4" ht="14.4" x14ac:dyDescent="0.3">
      <c r="A4" s="5" t="s">
        <v>125</v>
      </c>
    </row>
    <row r="5" spans="1:4" ht="14.4" x14ac:dyDescent="0.3">
      <c r="A5" s="7" t="s">
        <v>35</v>
      </c>
    </row>
    <row r="7" spans="1:4" x14ac:dyDescent="0.35">
      <c r="A7" s="30" t="s">
        <v>34</v>
      </c>
      <c r="B7" s="53" t="s">
        <v>118</v>
      </c>
      <c r="C7" s="53" t="s">
        <v>123</v>
      </c>
      <c r="D7" s="54" t="s">
        <v>124</v>
      </c>
    </row>
    <row r="8" spans="1:4" ht="14.4" x14ac:dyDescent="0.3">
      <c r="A8" s="31" t="s">
        <v>13</v>
      </c>
      <c r="B8" s="32"/>
      <c r="C8" s="32"/>
      <c r="D8" s="33"/>
    </row>
    <row r="9" spans="1:4" ht="14.4" x14ac:dyDescent="0.3">
      <c r="A9" s="34" t="s">
        <v>14</v>
      </c>
      <c r="B9" s="35"/>
      <c r="C9" s="35"/>
      <c r="D9" s="36"/>
    </row>
    <row r="10" spans="1:4" ht="14.4" x14ac:dyDescent="0.3">
      <c r="A10" s="37" t="s">
        <v>15</v>
      </c>
      <c r="B10" s="39">
        <v>729368784</v>
      </c>
      <c r="C10" s="82">
        <f>ROUND(204794472.09+377607190.87+331164789.87+13332568.4+20572278.24-22275838.4-168394486.22-7405355.7,0)</f>
        <v>749395619</v>
      </c>
      <c r="D10" s="82">
        <f>ROUND(204794472.09+385053046.24+284955143.07+27503539.66+30439865.57+13280730.35+13526613.29+3223894.35+669084.58+7469528.75+68942.85+5899.03-40390387.47-177050040.81-7733603.25,0)</f>
        <v>745816728</v>
      </c>
    </row>
    <row r="11" spans="1:4" ht="14.4" x14ac:dyDescent="0.3">
      <c r="A11" s="34" t="s">
        <v>16</v>
      </c>
      <c r="B11" s="41">
        <v>49433279</v>
      </c>
      <c r="C11" s="77">
        <f>ROUND(33901062.18+15900505.26+32491334.98-9463485.44-17660480.02,0)</f>
        <v>55168937</v>
      </c>
      <c r="D11" s="75">
        <f>ROUND(37106928.39+12506233.61+10506566.37+37664177.32-10321262.2-21180187.19,0)</f>
        <v>66282456</v>
      </c>
    </row>
    <row r="12" spans="1:4" ht="14.4" x14ac:dyDescent="0.3">
      <c r="A12" s="37" t="s">
        <v>17</v>
      </c>
      <c r="B12" s="38">
        <f>B10+B11</f>
        <v>778802063</v>
      </c>
      <c r="C12" s="38">
        <f>C10+C11</f>
        <v>804564556</v>
      </c>
      <c r="D12" s="39">
        <f>D10+D11</f>
        <v>812099184</v>
      </c>
    </row>
    <row r="13" spans="1:4" ht="14.4" x14ac:dyDescent="0.3">
      <c r="A13" s="34"/>
      <c r="B13" s="40"/>
      <c r="C13" s="40"/>
      <c r="D13" s="41"/>
    </row>
    <row r="14" spans="1:4" ht="14.4" x14ac:dyDescent="0.3">
      <c r="A14" s="37" t="s">
        <v>18</v>
      </c>
      <c r="B14" s="32"/>
      <c r="C14" s="32"/>
      <c r="D14" s="42"/>
    </row>
    <row r="15" spans="1:4" ht="14.4" x14ac:dyDescent="0.3">
      <c r="A15" s="34" t="s">
        <v>19</v>
      </c>
      <c r="B15" s="41">
        <v>156909617</v>
      </c>
      <c r="C15" s="76">
        <f>ROUND(169858775.09,0)</f>
        <v>169858775</v>
      </c>
      <c r="D15" s="74">
        <f>ROUND(58152447.52+816740.58-15494.45+4854.45+105263.04+238898.98+16827.57+2377497.78-2484606.28+7136094.27+2673.07+4611196.86+4487282.15+73992013.73+2130.37+1046330.67-151371.08+27243.77+931605.57+47937150.28+6271429.66-5392497.8+103158.3-119.6-326123-1442343.12,0)</f>
        <v>198448283</v>
      </c>
    </row>
    <row r="16" spans="1:4" ht="14.4" x14ac:dyDescent="0.3">
      <c r="A16" s="37" t="s">
        <v>20</v>
      </c>
      <c r="B16" s="39">
        <v>271462404</v>
      </c>
      <c r="C16" s="32">
        <f>ROUND(298073566.6,0)</f>
        <v>298073567</v>
      </c>
      <c r="D16" s="82">
        <f>ROUND(763014.8+188684.73+56459179.27+326827125.07-240747.08+15094849.23+7759811.85-28402280.32+3401276+454248.47+4671288.47-15299272.23-3432707.07+159094+883736,0)</f>
        <v>369287301</v>
      </c>
    </row>
    <row r="17" spans="1:8" ht="14.4" x14ac:dyDescent="0.3">
      <c r="A17" s="34" t="s">
        <v>38</v>
      </c>
      <c r="B17" s="41">
        <v>5119785</v>
      </c>
      <c r="C17" s="76">
        <f>ROUND(4078279.76,0)</f>
        <v>4078280</v>
      </c>
      <c r="D17" s="74">
        <f>ROUND(6101862.29-46236.34,0)</f>
        <v>6055626</v>
      </c>
    </row>
    <row r="18" spans="1:8" ht="14.4" x14ac:dyDescent="0.3">
      <c r="A18" s="37" t="s">
        <v>39</v>
      </c>
      <c r="B18" s="39">
        <v>28907231</v>
      </c>
      <c r="C18" s="32">
        <f>ROUND(226469.2+2110994.68+7425.79+13136.2+323316.5,0)</f>
        <v>2681342</v>
      </c>
      <c r="D18" s="82">
        <f>ROUND(14449282.27+4657.76,0)</f>
        <v>14453940</v>
      </c>
    </row>
    <row r="19" spans="1:8" ht="14.4" x14ac:dyDescent="0.3">
      <c r="A19" s="34" t="s">
        <v>21</v>
      </c>
      <c r="B19" s="40">
        <f>B15+B16+B17+B18</f>
        <v>462399037</v>
      </c>
      <c r="C19" s="40">
        <f t="shared" ref="C19" si="0">C15+C16+C17+C18</f>
        <v>474691964</v>
      </c>
      <c r="D19" s="41">
        <f>D15+D16+D17+D18</f>
        <v>588245150</v>
      </c>
      <c r="H19" s="26"/>
    </row>
    <row r="20" spans="1:8" x14ac:dyDescent="0.35">
      <c r="A20" s="37"/>
      <c r="B20" s="43"/>
      <c r="C20" s="38"/>
      <c r="D20" s="39"/>
    </row>
    <row r="21" spans="1:8" ht="14.4" x14ac:dyDescent="0.3">
      <c r="A21" s="44" t="s">
        <v>22</v>
      </c>
      <c r="B21" s="45">
        <f t="shared" ref="B21:C21" si="1">B12+B19</f>
        <v>1241201100</v>
      </c>
      <c r="C21" s="45">
        <f t="shared" si="1"/>
        <v>1279256520</v>
      </c>
      <c r="D21" s="46">
        <f>D12+D19</f>
        <v>1400344334</v>
      </c>
    </row>
    <row r="22" spans="1:8" ht="14.4" x14ac:dyDescent="0.3">
      <c r="A22" s="37"/>
      <c r="B22" s="38"/>
      <c r="C22" s="38"/>
      <c r="D22" s="39"/>
    </row>
    <row r="23" spans="1:8" ht="14.4" x14ac:dyDescent="0.3">
      <c r="A23" s="34" t="s">
        <v>40</v>
      </c>
      <c r="B23" s="40"/>
      <c r="C23" s="40"/>
      <c r="D23" s="41"/>
    </row>
    <row r="24" spans="1:8" ht="14.4" x14ac:dyDescent="0.3">
      <c r="A24" s="37" t="s">
        <v>41</v>
      </c>
      <c r="B24" s="38"/>
      <c r="C24" s="38"/>
      <c r="D24" s="39"/>
    </row>
    <row r="25" spans="1:8" ht="14.4" x14ac:dyDescent="0.3">
      <c r="A25" s="34" t="s">
        <v>42</v>
      </c>
      <c r="B25" s="41">
        <v>67133804</v>
      </c>
      <c r="C25" s="76">
        <f>ROUND(67133804,0)</f>
        <v>67133804</v>
      </c>
      <c r="D25" s="74">
        <f>ROUND(67133804,0)</f>
        <v>67133804</v>
      </c>
    </row>
    <row r="26" spans="1:8" ht="14.4" x14ac:dyDescent="0.3">
      <c r="A26" s="37" t="s">
        <v>28</v>
      </c>
      <c r="B26" s="39">
        <v>216807375</v>
      </c>
      <c r="C26" s="38">
        <f>ROUND(254696592.65-40751480.16,0)</f>
        <v>213945112</v>
      </c>
      <c r="D26" s="38">
        <f>ROUND(136074349.68+108063072.01-(24048389.25+15104786.9),0)</f>
        <v>204984246</v>
      </c>
    </row>
    <row r="27" spans="1:8" ht="14.4" x14ac:dyDescent="0.3">
      <c r="A27" s="34" t="s">
        <v>43</v>
      </c>
      <c r="B27" s="41">
        <v>333685459</v>
      </c>
      <c r="C27" s="76">
        <f>ROUND(13426761.41+398732238.85,0)</f>
        <v>412159000</v>
      </c>
      <c r="D27" s="74">
        <f>ROUND(13426761.41+408660649.45,0)</f>
        <v>422087411</v>
      </c>
    </row>
    <row r="28" spans="1:8" ht="14.4" x14ac:dyDescent="0.3">
      <c r="A28" s="37" t="s">
        <v>29</v>
      </c>
      <c r="B28" s="39">
        <v>261607764</v>
      </c>
      <c r="C28" s="38">
        <f>ROUND(201070907.19,0)</f>
        <v>201070907</v>
      </c>
      <c r="D28" s="38">
        <f>ROUND(197701352+13566042.04+51721117.58+120811619.93-197701352+42637224.41,0)+1</f>
        <v>228736005</v>
      </c>
    </row>
    <row r="29" spans="1:8" ht="14.4" x14ac:dyDescent="0.3">
      <c r="A29" s="34" t="s">
        <v>30</v>
      </c>
      <c r="B29" s="40">
        <f t="shared" ref="B29:D29" si="2">SUBTOTAL(109,B25:B28)</f>
        <v>879234402</v>
      </c>
      <c r="C29" s="40">
        <f t="shared" si="2"/>
        <v>894308823</v>
      </c>
      <c r="D29" s="41">
        <f t="shared" si="2"/>
        <v>922941466</v>
      </c>
    </row>
    <row r="30" spans="1:8" ht="14.4" x14ac:dyDescent="0.3">
      <c r="A30" s="37"/>
      <c r="B30" s="38"/>
      <c r="C30" s="38"/>
      <c r="D30" s="39"/>
    </row>
    <row r="31" spans="1:8" ht="14.4" x14ac:dyDescent="0.3">
      <c r="A31" s="34" t="s">
        <v>26</v>
      </c>
      <c r="B31" s="35"/>
      <c r="C31" s="35"/>
      <c r="D31" s="47"/>
    </row>
    <row r="32" spans="1:8" ht="14.4" x14ac:dyDescent="0.3">
      <c r="A32" s="37" t="s">
        <v>44</v>
      </c>
      <c r="B32" s="39">
        <v>88393000</v>
      </c>
      <c r="C32" s="38">
        <f>ROUND(96409067.03-10693974,0)</f>
        <v>85715093</v>
      </c>
      <c r="D32" s="38">
        <v>140388399</v>
      </c>
    </row>
    <row r="33" spans="1:9" ht="14.4" x14ac:dyDescent="0.3">
      <c r="A33" s="34" t="s">
        <v>45</v>
      </c>
      <c r="B33" s="41">
        <v>5485547</v>
      </c>
      <c r="C33" s="78">
        <f>ROUND(5145731,0)</f>
        <v>5145731</v>
      </c>
      <c r="D33" s="79">
        <f>ROUND(1358883.59+9291120.56-306289,0)</f>
        <v>10343715</v>
      </c>
    </row>
    <row r="34" spans="1:9" ht="14.4" x14ac:dyDescent="0.3">
      <c r="A34" s="37" t="s">
        <v>46</v>
      </c>
      <c r="B34" s="39">
        <v>62270653</v>
      </c>
      <c r="C34" s="38">
        <f>ROUND(59031868.82,0)</f>
        <v>59031869</v>
      </c>
      <c r="D34" s="38">
        <f>ROUND(61517418.65,0)</f>
        <v>61517419</v>
      </c>
    </row>
    <row r="35" spans="1:9" ht="14.4" x14ac:dyDescent="0.3">
      <c r="A35" s="34" t="s">
        <v>47</v>
      </c>
      <c r="B35" s="40">
        <f>B32+B33+B34</f>
        <v>156149200</v>
      </c>
      <c r="C35" s="40">
        <f t="shared" ref="C35" si="3">C32+C33+C34</f>
        <v>149892693</v>
      </c>
      <c r="D35" s="41">
        <f>D32+D33+D34</f>
        <v>212249533</v>
      </c>
    </row>
    <row r="36" spans="1:9" ht="14.4" x14ac:dyDescent="0.3">
      <c r="A36" s="37"/>
      <c r="B36" s="38"/>
      <c r="C36" s="38"/>
      <c r="D36" s="39"/>
    </row>
    <row r="37" spans="1:9" ht="14.4" x14ac:dyDescent="0.3">
      <c r="A37" s="34" t="s">
        <v>23</v>
      </c>
      <c r="B37" s="48"/>
      <c r="C37" s="40"/>
      <c r="D37" s="41"/>
    </row>
    <row r="38" spans="1:9" ht="14.4" x14ac:dyDescent="0.3">
      <c r="A38" s="37" t="s">
        <v>24</v>
      </c>
      <c r="B38" s="39">
        <v>162195052</v>
      </c>
      <c r="C38" s="38">
        <f>ROUND(168965277.93+268166,0)</f>
        <v>169233444</v>
      </c>
      <c r="D38" s="38">
        <v>136571278</v>
      </c>
    </row>
    <row r="39" spans="1:9" ht="14.4" x14ac:dyDescent="0.3">
      <c r="A39" s="34" t="s">
        <v>48</v>
      </c>
      <c r="B39" s="41">
        <v>33321913</v>
      </c>
      <c r="C39" s="76">
        <f>ROUND(44300314.57+10693974,0)</f>
        <v>54994289</v>
      </c>
      <c r="D39" s="74">
        <v>116518865</v>
      </c>
      <c r="I39" s="14"/>
    </row>
    <row r="40" spans="1:9" ht="14.4" x14ac:dyDescent="0.3">
      <c r="A40" s="37" t="s">
        <v>119</v>
      </c>
      <c r="B40" s="39">
        <v>9994244</v>
      </c>
      <c r="C40" s="38">
        <f>ROUND(10310387,0)</f>
        <v>10310387</v>
      </c>
      <c r="D40" s="38">
        <v>11756903</v>
      </c>
      <c r="H40" s="27"/>
    </row>
    <row r="41" spans="1:9" ht="14.4" x14ac:dyDescent="0.3">
      <c r="A41" s="34" t="s">
        <v>120</v>
      </c>
      <c r="B41" s="41">
        <v>306289</v>
      </c>
      <c r="C41" s="80">
        <f>ROUND(516884,0)</f>
        <v>516884</v>
      </c>
      <c r="D41" s="81">
        <v>306289</v>
      </c>
    </row>
    <row r="42" spans="1:9" ht="14.4" x14ac:dyDescent="0.3">
      <c r="A42" s="37" t="s">
        <v>25</v>
      </c>
      <c r="B42" s="38">
        <f>SUM(B38:B41)</f>
        <v>205817498</v>
      </c>
      <c r="C42" s="38">
        <f>SUM(C38:C41)</f>
        <v>235055004</v>
      </c>
      <c r="D42" s="39">
        <f>SUM(D38:D41)</f>
        <v>265153335</v>
      </c>
    </row>
    <row r="43" spans="1:9" x14ac:dyDescent="0.35">
      <c r="A43" s="49"/>
      <c r="B43" s="35"/>
      <c r="C43" s="35"/>
      <c r="D43" s="47"/>
    </row>
    <row r="44" spans="1:9" ht="14.4" x14ac:dyDescent="0.3">
      <c r="A44" s="37" t="s">
        <v>27</v>
      </c>
      <c r="B44" s="38">
        <f>B42+B35</f>
        <v>361966698</v>
      </c>
      <c r="C44" s="38">
        <f>C42+C35</f>
        <v>384947697</v>
      </c>
      <c r="D44" s="39">
        <f>D42+D35</f>
        <v>477402868</v>
      </c>
    </row>
    <row r="45" spans="1:9" ht="14.4" x14ac:dyDescent="0.3">
      <c r="A45" s="34"/>
      <c r="B45" s="40"/>
      <c r="C45" s="40"/>
      <c r="D45" s="41"/>
    </row>
    <row r="46" spans="1:9" ht="14.4" x14ac:dyDescent="0.3">
      <c r="A46" s="50" t="s">
        <v>31</v>
      </c>
      <c r="B46" s="51">
        <f>B44+B29</f>
        <v>1241201100</v>
      </c>
      <c r="C46" s="51">
        <f>C44+C29</f>
        <v>1279256520</v>
      </c>
      <c r="D46" s="52">
        <f>D44+D29</f>
        <v>1400344334</v>
      </c>
    </row>
    <row r="48" spans="1:9" x14ac:dyDescent="0.35">
      <c r="B48" s="12"/>
      <c r="C48" s="12"/>
      <c r="D48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A66-0CB4-40C7-9F96-5D8FB15CEBE8}">
  <dimension ref="A1:F34"/>
  <sheetViews>
    <sheetView zoomScaleNormal="100" workbookViewId="0">
      <pane ySplit="7" topLeftCell="A20" activePane="bottomLeft" state="frozen"/>
      <selection pane="bottomLeft" activeCell="B26" sqref="B26"/>
    </sheetView>
  </sheetViews>
  <sheetFormatPr defaultRowHeight="14.4" x14ac:dyDescent="0.3"/>
  <cols>
    <col min="1" max="1" width="53.33203125" bestFit="1" customWidth="1"/>
    <col min="2" max="3" width="16.44140625" bestFit="1" customWidth="1"/>
    <col min="6" max="6" width="11" bestFit="1" customWidth="1"/>
  </cols>
  <sheetData>
    <row r="1" spans="1:3" x14ac:dyDescent="0.3">
      <c r="A1" s="5" t="s">
        <v>36</v>
      </c>
    </row>
    <row r="2" spans="1:3" x14ac:dyDescent="0.3">
      <c r="A2" s="5" t="s">
        <v>37</v>
      </c>
    </row>
    <row r="3" spans="1:3" x14ac:dyDescent="0.3">
      <c r="A3" s="10"/>
    </row>
    <row r="4" spans="1:3" x14ac:dyDescent="0.3">
      <c r="A4" s="5" t="s">
        <v>126</v>
      </c>
    </row>
    <row r="5" spans="1:3" x14ac:dyDescent="0.3">
      <c r="A5" s="6" t="s">
        <v>35</v>
      </c>
    </row>
    <row r="6" spans="1:3" ht="15" x14ac:dyDescent="0.35">
      <c r="A6" s="2"/>
    </row>
    <row r="7" spans="1:3" x14ac:dyDescent="0.3">
      <c r="A7" s="71" t="s">
        <v>34</v>
      </c>
      <c r="B7" s="72" t="s">
        <v>124</v>
      </c>
      <c r="C7" s="72" t="s">
        <v>118</v>
      </c>
    </row>
    <row r="8" spans="1:3" x14ac:dyDescent="0.3">
      <c r="A8" s="55" t="s">
        <v>49</v>
      </c>
      <c r="B8" s="62">
        <f>B9+B10+B11+1</f>
        <v>468355688</v>
      </c>
      <c r="C8" s="62">
        <f>C9+C10+C11</f>
        <v>506052026</v>
      </c>
    </row>
    <row r="9" spans="1:3" x14ac:dyDescent="0.3">
      <c r="A9" s="57" t="s">
        <v>50</v>
      </c>
      <c r="B9" s="78">
        <v>367675105</v>
      </c>
      <c r="C9" s="63">
        <v>403210601</v>
      </c>
    </row>
    <row r="10" spans="1:3" ht="28.8" x14ac:dyDescent="0.3">
      <c r="A10" s="64" t="s">
        <v>51</v>
      </c>
      <c r="B10" s="78">
        <v>99088807</v>
      </c>
      <c r="C10" s="63">
        <v>101777669</v>
      </c>
    </row>
    <row r="11" spans="1:3" x14ac:dyDescent="0.3">
      <c r="A11" s="64" t="s">
        <v>52</v>
      </c>
      <c r="B11" s="78">
        <v>1591775</v>
      </c>
      <c r="C11" s="63">
        <v>1063756</v>
      </c>
    </row>
    <row r="12" spans="1:3" x14ac:dyDescent="0.3">
      <c r="A12" s="59" t="s">
        <v>32</v>
      </c>
      <c r="B12" s="78">
        <v>458335</v>
      </c>
      <c r="C12" s="63">
        <v>2143232</v>
      </c>
    </row>
    <row r="13" spans="1:3" x14ac:dyDescent="0.3">
      <c r="A13" s="59" t="s">
        <v>53</v>
      </c>
      <c r="B13" s="78">
        <v>333282</v>
      </c>
      <c r="C13" s="63">
        <v>309988</v>
      </c>
    </row>
    <row r="14" spans="1:3" ht="28.8" x14ac:dyDescent="0.3">
      <c r="A14" s="59" t="s">
        <v>54</v>
      </c>
      <c r="B14" s="63">
        <v>7429099</v>
      </c>
      <c r="C14" s="63">
        <v>-10083362</v>
      </c>
    </row>
    <row r="15" spans="1:3" x14ac:dyDescent="0.3">
      <c r="A15" s="59" t="s">
        <v>55</v>
      </c>
      <c r="B15" s="65">
        <v>7806622</v>
      </c>
      <c r="C15" s="63">
        <v>8188764</v>
      </c>
    </row>
    <row r="16" spans="1:3" ht="28.8" x14ac:dyDescent="0.3">
      <c r="A16" s="59" t="s">
        <v>116</v>
      </c>
      <c r="B16" s="65">
        <v>-172568817</v>
      </c>
      <c r="C16" s="63">
        <v>-167731777</v>
      </c>
    </row>
    <row r="17" spans="1:6" x14ac:dyDescent="0.3">
      <c r="A17" s="59" t="s">
        <v>56</v>
      </c>
      <c r="B17" s="63">
        <v>-125742847</v>
      </c>
      <c r="C17" s="63">
        <v>-114310723</v>
      </c>
    </row>
    <row r="18" spans="1:6" x14ac:dyDescent="0.3">
      <c r="A18" s="59" t="s">
        <v>57</v>
      </c>
      <c r="B18" s="63">
        <v>-3039290</v>
      </c>
      <c r="C18" s="63">
        <v>-3362981</v>
      </c>
    </row>
    <row r="19" spans="1:6" x14ac:dyDescent="0.3">
      <c r="A19" s="59" t="s">
        <v>58</v>
      </c>
      <c r="B19" s="63">
        <v>-15011859</v>
      </c>
      <c r="C19" s="63">
        <v>-11479998</v>
      </c>
    </row>
    <row r="20" spans="1:6" ht="28.8" x14ac:dyDescent="0.3">
      <c r="A20" s="59" t="s">
        <v>59</v>
      </c>
      <c r="B20" s="63">
        <v>-39365429</v>
      </c>
      <c r="C20" s="63">
        <v>-33044582</v>
      </c>
    </row>
    <row r="21" spans="1:6" x14ac:dyDescent="0.3">
      <c r="A21" s="59" t="s">
        <v>60</v>
      </c>
      <c r="B21" s="63">
        <v>10514679</v>
      </c>
      <c r="C21" s="63">
        <v>2842436</v>
      </c>
    </row>
    <row r="22" spans="1:6" x14ac:dyDescent="0.3">
      <c r="A22" s="59" t="s">
        <v>61</v>
      </c>
      <c r="B22" s="63">
        <v>-634758</v>
      </c>
      <c r="C22" s="63">
        <v>-640439</v>
      </c>
    </row>
    <row r="23" spans="1:6" x14ac:dyDescent="0.3">
      <c r="A23" s="59" t="s">
        <v>62</v>
      </c>
      <c r="B23" s="63">
        <v>-77782986</v>
      </c>
      <c r="C23" s="63">
        <v>-82736454</v>
      </c>
    </row>
    <row r="24" spans="1:6" x14ac:dyDescent="0.3">
      <c r="A24" s="61" t="s">
        <v>63</v>
      </c>
      <c r="B24" s="66">
        <f>SUM(B9:B23)+2</f>
        <v>60751720</v>
      </c>
      <c r="C24" s="66">
        <f>SUM(C9:C23)</f>
        <v>96146130</v>
      </c>
    </row>
    <row r="25" spans="1:6" x14ac:dyDescent="0.3">
      <c r="A25" s="59" t="s">
        <v>64</v>
      </c>
      <c r="B25" s="63">
        <v>-5558531</v>
      </c>
      <c r="C25" s="63">
        <v>-556092</v>
      </c>
    </row>
    <row r="26" spans="1:6" x14ac:dyDescent="0.3">
      <c r="A26" s="59" t="s">
        <v>65</v>
      </c>
      <c r="B26" s="63">
        <v>-3370247</v>
      </c>
      <c r="C26" s="63">
        <v>-3399157</v>
      </c>
    </row>
    <row r="27" spans="1:6" x14ac:dyDescent="0.3">
      <c r="A27" s="59" t="s">
        <v>66</v>
      </c>
      <c r="B27" s="63"/>
      <c r="C27" s="63">
        <v>0</v>
      </c>
    </row>
    <row r="28" spans="1:6" x14ac:dyDescent="0.3">
      <c r="A28" s="61" t="s">
        <v>67</v>
      </c>
      <c r="B28" s="66">
        <f>SUM(B25:B27)</f>
        <v>-8928778</v>
      </c>
      <c r="C28" s="66">
        <f>SUM(C25:C27)</f>
        <v>-3955249</v>
      </c>
    </row>
    <row r="29" spans="1:6" x14ac:dyDescent="0.3">
      <c r="A29" s="61" t="s">
        <v>68</v>
      </c>
      <c r="B29" s="66">
        <f>B24+B28</f>
        <v>51822942</v>
      </c>
      <c r="C29" s="66">
        <f>C24+C28</f>
        <v>92190881</v>
      </c>
    </row>
    <row r="30" spans="1:6" x14ac:dyDescent="0.3">
      <c r="A30" s="67"/>
      <c r="B30" s="65"/>
      <c r="C30" s="63"/>
    </row>
    <row r="31" spans="1:6" x14ac:dyDescent="0.3">
      <c r="A31" s="67" t="s">
        <v>69</v>
      </c>
      <c r="B31" s="65">
        <v>-9185720</v>
      </c>
      <c r="C31" s="65">
        <v>4254353</v>
      </c>
    </row>
    <row r="32" spans="1:6" x14ac:dyDescent="0.3">
      <c r="A32" s="55" t="s">
        <v>70</v>
      </c>
      <c r="B32" s="68">
        <v>42637222</v>
      </c>
      <c r="C32" s="68">
        <f>C29-C31</f>
        <v>87936528</v>
      </c>
      <c r="F32" s="14"/>
    </row>
    <row r="33" spans="1:3" x14ac:dyDescent="0.3">
      <c r="A33" s="55" t="s">
        <v>122</v>
      </c>
      <c r="B33" s="62">
        <f>B32</f>
        <v>42637222</v>
      </c>
      <c r="C33" s="62">
        <f>C32</f>
        <v>87936528</v>
      </c>
    </row>
    <row r="34" spans="1:3" x14ac:dyDescent="0.3">
      <c r="A34" s="61" t="s">
        <v>71</v>
      </c>
      <c r="B34" s="69">
        <f>B33/671338040</f>
        <v>6.3510808951031589E-2</v>
      </c>
      <c r="C34" s="70">
        <f>C33/671338040</f>
        <v>0.13098695852241593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1"/>
  <sheetViews>
    <sheetView zoomScaleNormal="100" workbookViewId="0">
      <pane ySplit="7" topLeftCell="A11" activePane="bottomLeft" state="frozen"/>
      <selection pane="bottomLeft" activeCell="B24" sqref="B24"/>
    </sheetView>
  </sheetViews>
  <sheetFormatPr defaultColWidth="9.109375" defaultRowHeight="14.4" x14ac:dyDescent="0.3"/>
  <cols>
    <col min="1" max="1" width="50.44140625" style="8" customWidth="1"/>
    <col min="2" max="2" width="16.44140625" style="5" bestFit="1" customWidth="1"/>
    <col min="3" max="3" width="14.33203125" style="5" bestFit="1" customWidth="1"/>
    <col min="4" max="4" width="9.109375" style="5"/>
    <col min="5" max="6" width="11.88671875" style="5" bestFit="1" customWidth="1"/>
    <col min="7" max="16384" width="9.109375" style="5"/>
  </cols>
  <sheetData>
    <row r="1" spans="1:6" x14ac:dyDescent="0.3">
      <c r="A1" s="5" t="s">
        <v>36</v>
      </c>
    </row>
    <row r="2" spans="1:6" x14ac:dyDescent="0.3">
      <c r="A2" s="5" t="s">
        <v>37</v>
      </c>
    </row>
    <row r="3" spans="1:6" x14ac:dyDescent="0.3">
      <c r="A3" s="10"/>
    </row>
    <row r="4" spans="1:6" x14ac:dyDescent="0.3">
      <c r="A4" s="83" t="s">
        <v>127</v>
      </c>
      <c r="B4" s="83"/>
    </row>
    <row r="5" spans="1:6" x14ac:dyDescent="0.3">
      <c r="A5" s="6" t="s">
        <v>35</v>
      </c>
    </row>
    <row r="6" spans="1:6" ht="15" x14ac:dyDescent="0.35">
      <c r="A6" s="3"/>
    </row>
    <row r="7" spans="1:6" x14ac:dyDescent="0.3">
      <c r="A7" s="9" t="s">
        <v>34</v>
      </c>
      <c r="B7" s="73" t="s">
        <v>124</v>
      </c>
      <c r="C7" s="73" t="s">
        <v>118</v>
      </c>
    </row>
    <row r="8" spans="1:6" x14ac:dyDescent="0.3">
      <c r="A8" s="55" t="s">
        <v>72</v>
      </c>
      <c r="B8" s="56">
        <v>51822942</v>
      </c>
      <c r="C8" s="56">
        <v>92190882</v>
      </c>
      <c r="E8" s="16"/>
      <c r="F8" s="16"/>
    </row>
    <row r="9" spans="1:6" x14ac:dyDescent="0.3">
      <c r="A9" s="57" t="s">
        <v>73</v>
      </c>
      <c r="B9" s="58"/>
      <c r="C9" s="58"/>
    </row>
    <row r="10" spans="1:6" x14ac:dyDescent="0.3">
      <c r="A10" s="59" t="s">
        <v>74</v>
      </c>
      <c r="B10" s="56">
        <v>4377483.93</v>
      </c>
      <c r="C10" s="58">
        <v>2758054.58</v>
      </c>
    </row>
    <row r="11" spans="1:6" x14ac:dyDescent="0.3">
      <c r="A11" s="59" t="s">
        <v>75</v>
      </c>
      <c r="B11" s="58">
        <v>35028913.199999996</v>
      </c>
      <c r="C11" s="58">
        <v>30286527.43</v>
      </c>
    </row>
    <row r="12" spans="1:6" hidden="1" x14ac:dyDescent="0.3">
      <c r="A12" s="59" t="s">
        <v>76</v>
      </c>
      <c r="B12" s="58"/>
      <c r="C12" s="58"/>
    </row>
    <row r="13" spans="1:6" ht="28.8" hidden="1" x14ac:dyDescent="0.3">
      <c r="A13" s="59" t="s">
        <v>77</v>
      </c>
      <c r="B13" s="58"/>
      <c r="C13" s="58"/>
    </row>
    <row r="14" spans="1:6" ht="18.75" customHeight="1" x14ac:dyDescent="0.3">
      <c r="A14" s="59" t="s">
        <v>78</v>
      </c>
      <c r="B14" s="56">
        <f>156180.8-28453.28-795420.36-1638037-452419.99-1762953.58</f>
        <v>-4521103.41</v>
      </c>
      <c r="C14" s="58">
        <v>-2840700.6300000004</v>
      </c>
    </row>
    <row r="15" spans="1:6" ht="28.8" x14ac:dyDescent="0.3">
      <c r="A15" s="59" t="s">
        <v>79</v>
      </c>
      <c r="B15" s="58">
        <v>-5993576</v>
      </c>
      <c r="C15" s="58">
        <v>-1735.6500000000233</v>
      </c>
    </row>
    <row r="16" spans="1:6" ht="28.8" x14ac:dyDescent="0.3">
      <c r="A16" s="59" t="s">
        <v>80</v>
      </c>
      <c r="B16" s="58">
        <v>8412116</v>
      </c>
      <c r="C16" s="58">
        <v>-6635020</v>
      </c>
    </row>
    <row r="17" spans="1:3" ht="28.8" x14ac:dyDescent="0.3">
      <c r="A17" s="59" t="s">
        <v>81</v>
      </c>
      <c r="B17" s="58">
        <v>10514679.15</v>
      </c>
      <c r="C17" s="58">
        <v>2842436.28</v>
      </c>
    </row>
    <row r="18" spans="1:3" x14ac:dyDescent="0.3">
      <c r="A18" s="59" t="s">
        <v>53</v>
      </c>
      <c r="B18" s="58">
        <v>-333382</v>
      </c>
      <c r="C18" s="58">
        <v>-309988</v>
      </c>
    </row>
    <row r="19" spans="1:3" hidden="1" x14ac:dyDescent="0.3">
      <c r="A19" s="59" t="s">
        <v>82</v>
      </c>
      <c r="B19" s="58"/>
      <c r="C19" s="58"/>
    </row>
    <row r="20" spans="1:3" x14ac:dyDescent="0.3">
      <c r="A20" s="59" t="s">
        <v>83</v>
      </c>
      <c r="B20" s="58">
        <v>3371725</v>
      </c>
      <c r="C20" s="58">
        <v>3400903.44</v>
      </c>
    </row>
    <row r="21" spans="1:3" x14ac:dyDescent="0.3">
      <c r="A21" s="59" t="s">
        <v>84</v>
      </c>
      <c r="B21" s="58">
        <v>-1479</v>
      </c>
      <c r="C21" s="58">
        <v>-1747</v>
      </c>
    </row>
    <row r="22" spans="1:3" ht="36.75" customHeight="1" x14ac:dyDescent="0.3">
      <c r="A22" s="55" t="s">
        <v>85</v>
      </c>
      <c r="B22" s="56">
        <f>SUM(B8:B21)</f>
        <v>102678318.87</v>
      </c>
      <c r="C22" s="56">
        <f>SUM(C8:C21)</f>
        <v>121689612.44999999</v>
      </c>
    </row>
    <row r="23" spans="1:3" x14ac:dyDescent="0.3">
      <c r="A23" s="59" t="s">
        <v>86</v>
      </c>
      <c r="B23" s="58">
        <v>-71213734</v>
      </c>
      <c r="C23" s="58">
        <v>-35690414</v>
      </c>
    </row>
    <row r="24" spans="1:3" x14ac:dyDescent="0.3">
      <c r="A24" s="59" t="s">
        <v>87</v>
      </c>
      <c r="B24" s="58">
        <v>-1977346</v>
      </c>
      <c r="C24" s="58">
        <v>-1630170</v>
      </c>
    </row>
    <row r="25" spans="1:3" x14ac:dyDescent="0.3">
      <c r="A25" s="59" t="s">
        <v>88</v>
      </c>
      <c r="B25" s="58">
        <v>-28589508</v>
      </c>
      <c r="C25" s="58">
        <v>-12682991</v>
      </c>
    </row>
    <row r="26" spans="1:3" x14ac:dyDescent="0.3">
      <c r="A26" s="59" t="s">
        <v>89</v>
      </c>
      <c r="B26" s="58">
        <v>43945366</v>
      </c>
      <c r="C26" s="58">
        <v>14345942</v>
      </c>
    </row>
    <row r="27" spans="1:3" x14ac:dyDescent="0.3">
      <c r="A27" s="59" t="s">
        <v>90</v>
      </c>
      <c r="B27" s="58">
        <v>-333382</v>
      </c>
      <c r="C27" s="58">
        <v>-309988</v>
      </c>
    </row>
    <row r="28" spans="1:3" x14ac:dyDescent="0.3">
      <c r="A28" s="59" t="s">
        <v>91</v>
      </c>
      <c r="B28" s="58">
        <v>-3371725</v>
      </c>
      <c r="C28" s="58">
        <v>-3400903</v>
      </c>
    </row>
    <row r="29" spans="1:3" x14ac:dyDescent="0.3">
      <c r="A29" s="59" t="s">
        <v>92</v>
      </c>
      <c r="B29" s="58">
        <v>1479</v>
      </c>
      <c r="C29" s="58">
        <v>1747</v>
      </c>
    </row>
    <row r="30" spans="1:3" x14ac:dyDescent="0.3">
      <c r="A30" s="59" t="s">
        <v>93</v>
      </c>
      <c r="B30" s="58">
        <v>-6313738</v>
      </c>
      <c r="C30" s="58">
        <v>-2686521</v>
      </c>
    </row>
    <row r="31" spans="1:3" ht="16.5" customHeight="1" x14ac:dyDescent="0.3">
      <c r="A31" s="55" t="s">
        <v>94</v>
      </c>
      <c r="B31" s="56">
        <v>34825730.870000005</v>
      </c>
      <c r="C31" s="56">
        <f>SUM(C22:C30)-1</f>
        <v>79636313.449999988</v>
      </c>
    </row>
    <row r="32" spans="1:3" hidden="1" x14ac:dyDescent="0.3">
      <c r="A32" s="59"/>
      <c r="B32" s="58"/>
      <c r="C32" s="58"/>
    </row>
    <row r="33" spans="1:3" x14ac:dyDescent="0.3">
      <c r="A33" s="55" t="s">
        <v>95</v>
      </c>
      <c r="B33" s="58"/>
      <c r="C33" s="58"/>
    </row>
    <row r="34" spans="1:3" x14ac:dyDescent="0.3">
      <c r="A34" s="59" t="s">
        <v>96</v>
      </c>
      <c r="B34" s="58">
        <v>-88506743.199999988</v>
      </c>
      <c r="C34" s="58">
        <v>-48247447</v>
      </c>
    </row>
    <row r="35" spans="1:3" x14ac:dyDescent="0.3">
      <c r="A35" s="59" t="s">
        <v>97</v>
      </c>
      <c r="B35" s="58">
        <v>-40778084.910000004</v>
      </c>
      <c r="C35" s="58">
        <v>-3856899</v>
      </c>
    </row>
    <row r="36" spans="1:3" ht="28.8" hidden="1" x14ac:dyDescent="0.3">
      <c r="A36" s="59" t="s">
        <v>98</v>
      </c>
      <c r="B36" s="58"/>
      <c r="C36" s="58"/>
    </row>
    <row r="37" spans="1:3" hidden="1" x14ac:dyDescent="0.3">
      <c r="A37" s="59" t="s">
        <v>99</v>
      </c>
      <c r="B37" s="58"/>
      <c r="C37" s="58"/>
    </row>
    <row r="38" spans="1:3" hidden="1" x14ac:dyDescent="0.3">
      <c r="A38" s="59" t="s">
        <v>100</v>
      </c>
      <c r="B38" s="58"/>
      <c r="C38" s="58"/>
    </row>
    <row r="39" spans="1:3" hidden="1" x14ac:dyDescent="0.3">
      <c r="A39" s="59" t="s">
        <v>101</v>
      </c>
      <c r="B39" s="58"/>
      <c r="C39" s="58"/>
    </row>
    <row r="40" spans="1:3" x14ac:dyDescent="0.3">
      <c r="A40" s="55" t="s">
        <v>102</v>
      </c>
      <c r="B40" s="58">
        <f>B34+B35</f>
        <v>-129284828.10999998</v>
      </c>
      <c r="C40" s="58">
        <f>C34+C35</f>
        <v>-52104346</v>
      </c>
    </row>
    <row r="41" spans="1:3" hidden="1" x14ac:dyDescent="0.3">
      <c r="A41" s="60"/>
      <c r="B41" s="58"/>
      <c r="C41" s="58"/>
    </row>
    <row r="42" spans="1:3" x14ac:dyDescent="0.3">
      <c r="A42" s="55" t="s">
        <v>103</v>
      </c>
      <c r="B42" s="58"/>
      <c r="C42" s="58"/>
    </row>
    <row r="43" spans="1:3" x14ac:dyDescent="0.3">
      <c r="A43" s="59" t="s">
        <v>104</v>
      </c>
      <c r="B43" s="58">
        <v>56646720</v>
      </c>
      <c r="C43" s="58">
        <v>3767671.4300000072</v>
      </c>
    </row>
    <row r="44" spans="1:3" x14ac:dyDescent="0.3">
      <c r="A44" s="59" t="s">
        <v>105</v>
      </c>
      <c r="B44" s="58">
        <v>59551161</v>
      </c>
      <c r="C44" s="58">
        <v>26917108.359999999</v>
      </c>
    </row>
    <row r="45" spans="1:3" ht="28.8" hidden="1" x14ac:dyDescent="0.3">
      <c r="A45" s="59" t="s">
        <v>106</v>
      </c>
      <c r="B45" s="58"/>
      <c r="C45" s="58"/>
    </row>
    <row r="46" spans="1:3" hidden="1" x14ac:dyDescent="0.3">
      <c r="A46" s="59" t="s">
        <v>107</v>
      </c>
      <c r="B46" s="58"/>
      <c r="C46" s="58"/>
    </row>
    <row r="47" spans="1:3" hidden="1" x14ac:dyDescent="0.3">
      <c r="A47" s="59" t="s">
        <v>108</v>
      </c>
      <c r="B47" s="58"/>
      <c r="C47" s="58"/>
    </row>
    <row r="48" spans="1:3" x14ac:dyDescent="0.3">
      <c r="A48" s="59" t="s">
        <v>109</v>
      </c>
      <c r="B48" s="58">
        <v>-9966186</v>
      </c>
      <c r="C48" s="58">
        <v>-31117447</v>
      </c>
    </row>
    <row r="49" spans="1:3" hidden="1" x14ac:dyDescent="0.3">
      <c r="A49" s="59" t="s">
        <v>110</v>
      </c>
      <c r="B49" s="58"/>
      <c r="C49" s="58"/>
    </row>
    <row r="50" spans="1:3" x14ac:dyDescent="0.3">
      <c r="A50" s="55" t="s">
        <v>111</v>
      </c>
      <c r="B50" s="58">
        <f>B43+B44+B48</f>
        <v>106231695</v>
      </c>
      <c r="C50" s="58">
        <f>C43+C44+C48</f>
        <v>-432667.20999999344</v>
      </c>
    </row>
    <row r="51" spans="1:3" hidden="1" x14ac:dyDescent="0.3">
      <c r="A51" s="61"/>
      <c r="B51" s="58"/>
      <c r="C51" s="58"/>
    </row>
    <row r="52" spans="1:3" ht="28.8" x14ac:dyDescent="0.3">
      <c r="A52" s="55" t="s">
        <v>112</v>
      </c>
      <c r="B52" s="58">
        <v>11772597.76000002</v>
      </c>
      <c r="C52" s="58">
        <v>27099301.239999995</v>
      </c>
    </row>
    <row r="53" spans="1:3" hidden="1" x14ac:dyDescent="0.3">
      <c r="A53" s="59"/>
      <c r="B53" s="58"/>
      <c r="C53" s="58"/>
    </row>
    <row r="54" spans="1:3" ht="28.8" x14ac:dyDescent="0.3">
      <c r="A54" s="55" t="s">
        <v>113</v>
      </c>
      <c r="B54" s="58">
        <v>2681342</v>
      </c>
      <c r="C54" s="58">
        <v>1807930</v>
      </c>
    </row>
    <row r="55" spans="1:3" ht="28.8" hidden="1" x14ac:dyDescent="0.3">
      <c r="A55" s="59" t="s">
        <v>114</v>
      </c>
      <c r="B55" s="58"/>
      <c r="C55" s="58"/>
    </row>
    <row r="56" spans="1:3" ht="28.8" x14ac:dyDescent="0.3">
      <c r="A56" s="55" t="s">
        <v>115</v>
      </c>
      <c r="B56" s="58">
        <f>B52+B54</f>
        <v>14453939.76000002</v>
      </c>
      <c r="C56" s="58">
        <f>C52+C54</f>
        <v>28907231.239999995</v>
      </c>
    </row>
    <row r="57" spans="1:3" x14ac:dyDescent="0.3">
      <c r="A57" s="15"/>
    </row>
    <row r="58" spans="1:3" x14ac:dyDescent="0.3">
      <c r="A58" s="15"/>
    </row>
    <row r="59" spans="1:3" x14ac:dyDescent="0.3">
      <c r="A59" s="15"/>
    </row>
    <row r="60" spans="1:3" x14ac:dyDescent="0.3">
      <c r="A60" s="15"/>
    </row>
    <row r="61" spans="1:3" x14ac:dyDescent="0.3">
      <c r="A61" s="15"/>
    </row>
  </sheetData>
  <mergeCells count="1">
    <mergeCell ref="A4:B4"/>
  </mergeCells>
  <phoneticPr fontId="9" type="noConversion"/>
  <pageMargins left="0.7" right="0.7" top="0.75" bottom="0.75" header="0.3" footer="0.3"/>
  <pageSetup scale="9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9D88-414A-48A4-A67D-983894B44C26}">
  <dimension ref="A1:E14"/>
  <sheetViews>
    <sheetView tabSelected="1" zoomScaleNormal="100" workbookViewId="0">
      <selection activeCell="F10" sqref="F10"/>
    </sheetView>
  </sheetViews>
  <sheetFormatPr defaultRowHeight="14.4" x14ac:dyDescent="0.3"/>
  <cols>
    <col min="1" max="1" width="24.88671875" customWidth="1"/>
    <col min="2" max="2" width="27.109375" customWidth="1"/>
    <col min="3" max="3" width="17.109375" style="1" customWidth="1"/>
    <col min="4" max="5" width="12.109375" customWidth="1"/>
  </cols>
  <sheetData>
    <row r="1" spans="1:5" x14ac:dyDescent="0.3">
      <c r="A1" s="5" t="s">
        <v>36</v>
      </c>
    </row>
    <row r="2" spans="1:5" x14ac:dyDescent="0.3">
      <c r="A2" s="5" t="s">
        <v>117</v>
      </c>
    </row>
    <row r="3" spans="1:5" x14ac:dyDescent="0.3">
      <c r="A3" s="5"/>
    </row>
    <row r="4" spans="1:5" x14ac:dyDescent="0.3">
      <c r="A4" s="5" t="s">
        <v>33</v>
      </c>
    </row>
    <row r="5" spans="1:5" x14ac:dyDescent="0.3">
      <c r="A5" s="7" t="s">
        <v>35</v>
      </c>
    </row>
    <row r="6" spans="1:5" ht="15" x14ac:dyDescent="0.35">
      <c r="A6" s="2"/>
    </row>
    <row r="7" spans="1:5" ht="28.8" x14ac:dyDescent="0.3">
      <c r="A7" s="17" t="s">
        <v>34</v>
      </c>
      <c r="B7" s="17" t="s">
        <v>0</v>
      </c>
      <c r="C7" s="18" t="s">
        <v>8</v>
      </c>
      <c r="D7" s="17" t="s">
        <v>124</v>
      </c>
      <c r="E7" s="19" t="s">
        <v>118</v>
      </c>
    </row>
    <row r="8" spans="1:5" ht="28.8" x14ac:dyDescent="0.3">
      <c r="A8" s="20" t="s">
        <v>1</v>
      </c>
      <c r="B8" s="21" t="s">
        <v>2</v>
      </c>
      <c r="C8" s="9" t="s">
        <v>12</v>
      </c>
      <c r="D8" s="24">
        <v>2.2200000000000002</v>
      </c>
      <c r="E8" s="24">
        <v>2.25</v>
      </c>
    </row>
    <row r="9" spans="1:5" ht="28.8" x14ac:dyDescent="0.3">
      <c r="A9" s="20" t="s">
        <v>3</v>
      </c>
      <c r="B9" s="21" t="s">
        <v>4</v>
      </c>
      <c r="C9" s="9" t="s">
        <v>11</v>
      </c>
      <c r="D9" s="23">
        <v>0.27839999999999998</v>
      </c>
      <c r="E9" s="23">
        <v>0.1384</v>
      </c>
    </row>
    <row r="10" spans="1:5" ht="28.8" x14ac:dyDescent="0.3">
      <c r="A10" s="20" t="s">
        <v>5</v>
      </c>
      <c r="B10" s="21" t="s">
        <v>6</v>
      </c>
      <c r="C10" s="9" t="s">
        <v>9</v>
      </c>
      <c r="D10" s="28">
        <v>172</v>
      </c>
      <c r="E10" s="28">
        <v>144</v>
      </c>
    </row>
    <row r="11" spans="1:5" ht="28.8" x14ac:dyDescent="0.3">
      <c r="A11" s="20" t="s">
        <v>7</v>
      </c>
      <c r="B11" s="21" t="s">
        <v>121</v>
      </c>
      <c r="C11" s="9" t="s">
        <v>10</v>
      </c>
      <c r="D11" s="24">
        <v>0.57999999999999996</v>
      </c>
      <c r="E11" s="29">
        <v>0.65</v>
      </c>
    </row>
    <row r="12" spans="1:5" x14ac:dyDescent="0.3">
      <c r="D12" s="25"/>
      <c r="E12" s="25"/>
    </row>
    <row r="14" spans="1:5" x14ac:dyDescent="0.3">
      <c r="D14" s="22"/>
      <c r="E14" s="22"/>
    </row>
  </sheetData>
  <pageMargins left="0.7" right="0.7" top="0.75" bottom="0.75" header="0.3" footer="0.3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Situatia pozitiei financiare</vt:lpstr>
      <vt:lpstr>Situatia rezultatului global</vt:lpstr>
      <vt:lpstr>Situatia fluxurilor de numerar</vt:lpstr>
      <vt:lpstr>Indicatori operationali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{7F6A7D76-89AC-4038-B686-BB66CD4C85D2} {CA9CF883-0659-4703-8517-DDC6AD2061FE} {6063418C-960B-44AA-A8A1-99A8F9E1794C} {BE86F195-CFA6-4788-8E2B-F195213FF9EB} {2BC18EA3-DA16-406B-87CA-76082D6A2242}</vt:lpwstr>
  </property>
  <property fmtid="{D5CDD505-2E9C-101B-9397-08002B2CF9AE}" pid="3" name="DLPManualFileClassificationLastModifiedBy">
    <vt:lpwstr>ANTIBIOTICE\CeraselaM</vt:lpwstr>
  </property>
  <property fmtid="{D5CDD505-2E9C-101B-9397-08002B2CF9AE}" pid="4" name="DLPManualFileClassificationLastModificationDate">
    <vt:lpwstr>1700483914</vt:lpwstr>
  </property>
  <property fmtid="{D5CDD505-2E9C-101B-9397-08002B2CF9AE}" pid="5" name="DLPManualFileClassificationVersion">
    <vt:lpwstr>11.9.100.18</vt:lpwstr>
  </property>
</Properties>
</file>