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0" documentId="8_{2B4E6544-489D-497C-BA24-BE084BCFCC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ement of the financial posi" sheetId="2" r:id="rId1"/>
    <sheet name="Statement of the comprehensive " sheetId="3" r:id="rId2"/>
    <sheet name="Cash-flow statements" sheetId="10" r:id="rId3"/>
    <sheet name="Indicatori operationali" sheetId="1" state="hidden" r:id="rId4"/>
  </sheets>
  <calcPr calcId="191029"/>
</workbook>
</file>

<file path=xl/calcChain.xml><?xml version="1.0" encoding="utf-8"?>
<calcChain xmlns="http://schemas.openxmlformats.org/spreadsheetml/2006/main">
  <c r="D30" i="2" l="1"/>
  <c r="C30" i="2"/>
  <c r="B50" i="10"/>
  <c r="B40" i="10"/>
  <c r="B31" i="10"/>
  <c r="B22" i="10"/>
  <c r="C50" i="10"/>
  <c r="C40" i="10"/>
  <c r="C31" i="10"/>
  <c r="C22" i="10"/>
  <c r="C32" i="3"/>
  <c r="C27" i="3"/>
  <c r="C26" i="3"/>
  <c r="C24" i="3"/>
  <c r="C23" i="3"/>
  <c r="C22" i="3"/>
  <c r="C21" i="3"/>
  <c r="C20" i="3"/>
  <c r="C19" i="3"/>
  <c r="C18" i="3"/>
  <c r="C17" i="3"/>
  <c r="C16" i="3"/>
  <c r="C15" i="3"/>
  <c r="C14" i="3"/>
  <c r="C12" i="3"/>
  <c r="C11" i="3"/>
  <c r="C10" i="3"/>
  <c r="C9" i="3"/>
  <c r="B28" i="3"/>
  <c r="B27" i="3"/>
  <c r="B26" i="3"/>
  <c r="B24" i="3"/>
  <c r="B23" i="3"/>
  <c r="B22" i="3"/>
  <c r="B20" i="3"/>
  <c r="B19" i="3"/>
  <c r="B18" i="3"/>
  <c r="B15" i="3"/>
  <c r="B14" i="3"/>
  <c r="B12" i="3"/>
  <c r="B11" i="3"/>
  <c r="B10" i="3"/>
  <c r="B9" i="3"/>
  <c r="C36" i="2"/>
  <c r="D44" i="2"/>
  <c r="C44" i="2"/>
  <c r="B41" i="2"/>
  <c r="B29" i="2"/>
  <c r="B17" i="2"/>
  <c r="D36" i="2"/>
  <c r="B28" i="2"/>
  <c r="B30" i="2" l="1"/>
  <c r="B29" i="3"/>
  <c r="C29" i="3"/>
  <c r="B52" i="10"/>
  <c r="B56" i="10" s="1"/>
  <c r="C46" i="2"/>
  <c r="C48" i="2" s="1"/>
  <c r="B8" i="3"/>
  <c r="B25" i="3"/>
  <c r="C25" i="3"/>
  <c r="C30" i="3" s="1"/>
  <c r="C33" i="3" s="1"/>
  <c r="C35" i="3" s="1"/>
  <c r="C36" i="3" s="1"/>
  <c r="C52" i="10"/>
  <c r="C56" i="10" s="1"/>
  <c r="C8" i="3"/>
  <c r="D46" i="2"/>
  <c r="D48" i="2" s="1"/>
  <c r="D19" i="2"/>
  <c r="C17" i="2"/>
  <c r="C20" i="2" s="1"/>
  <c r="D17" i="2"/>
  <c r="D12" i="2"/>
  <c r="D11" i="2"/>
  <c r="C13" i="2"/>
  <c r="B30" i="3" l="1"/>
  <c r="B33" i="3" s="1"/>
  <c r="B35" i="3" s="1"/>
  <c r="B36" i="3" s="1"/>
  <c r="D20" i="2"/>
  <c r="D22" i="2" s="1"/>
  <c r="C22" i="2"/>
  <c r="D13" i="2"/>
  <c r="F11" i="1" l="1"/>
  <c r="F10" i="1"/>
  <c r="F6" i="1" l="1"/>
  <c r="F5" i="1"/>
  <c r="F8" i="1" l="1"/>
  <c r="E5" i="1"/>
  <c r="E8" i="1" l="1"/>
  <c r="E6" i="1"/>
</calcChain>
</file>

<file path=xl/sharedStrings.xml><?xml version="1.0" encoding="utf-8"?>
<sst xmlns="http://schemas.openxmlformats.org/spreadsheetml/2006/main" count="160" uniqueCount="141">
  <si>
    <t>Mod de calcul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</si>
  <si>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</si>
  <si>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</si>
  <si>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</si>
  <si>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</si>
  <si>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</si>
  <si>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</si>
  <si>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</si>
  <si>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</si>
  <si>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</si>
  <si>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</si>
  <si>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</si>
  <si>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</si>
  <si>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</si>
  <si>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</si>
  <si>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</si>
  <si>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</si>
  <si>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</si>
  <si>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</si>
  <si>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</si>
  <si>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(sumele sunt exprimate in LEI)</t>
  </si>
  <si>
    <t>Indicatori operationali</t>
  </si>
  <si>
    <t>Indicatori</t>
  </si>
  <si>
    <t>Castig pe actiune (EPS)</t>
  </si>
  <si>
    <t>Capital social subscris varsat/Numar de actiuni</t>
  </si>
  <si>
    <t>actiuni</t>
  </si>
  <si>
    <t>30.06.2020</t>
  </si>
  <si>
    <t>30.06.2021</t>
  </si>
  <si>
    <t>31.12.2022</t>
  </si>
  <si>
    <t>30.06.2022</t>
  </si>
  <si>
    <t>S.C. ANTIBIOTICE S.A</t>
  </si>
  <si>
    <t>30.06.2023</t>
  </si>
  <si>
    <t>Cheltuieli inregistrate in avans</t>
  </si>
  <si>
    <t>Venituri din subventii</t>
  </si>
  <si>
    <t>Amortizare aferentă imobilizărilor necorporale</t>
  </si>
  <si>
    <t>Income tax</t>
  </si>
  <si>
    <t>Cheltuieli/(Venituri) aferente provizioanelor de clienţi şi conturi asimilate</t>
  </si>
  <si>
    <t>Cheltuieli/(Venituri) aferente provizioanelor pentru riscuri şi cheltuieli</t>
  </si>
  <si>
    <t>(Câştig net)/Pierdere netă din ieşirea de imobilizări corporale</t>
  </si>
  <si>
    <t>Ajustari pentru pierderi/(câștig) din curs valutar</t>
  </si>
  <si>
    <t>Cheltuieli cu dobânzile</t>
  </si>
  <si>
    <t>Venituri din dobânzi</t>
  </si>
  <si>
    <t>(Creşteri)/Descreşteri de cheltuieli în avans</t>
  </si>
  <si>
    <t>Creşteri / (descreşteri) de venituri in avans</t>
  </si>
  <si>
    <t>Dobânzi plătite</t>
  </si>
  <si>
    <t>Dobânzi încasate</t>
  </si>
  <si>
    <t>Impozit pe profit plătit</t>
  </si>
  <si>
    <t>Împrumuturi (acordate)/restituite și imobilizări financiare</t>
  </si>
  <si>
    <t xml:space="preserve">Încasări din vânzarea de imobilizări </t>
  </si>
  <si>
    <t>Dividende incasate</t>
  </si>
  <si>
    <t>(Achiziție)/Vânzare de acțiuni proprii</t>
  </si>
  <si>
    <t>Încasare/(Rambursare) împrumut de la actionari/asociati</t>
  </si>
  <si>
    <t>Plăţi din leasing financiar</t>
  </si>
  <si>
    <t>Crestere/descrestere subventii</t>
  </si>
  <si>
    <t>Dividende plătite</t>
  </si>
  <si>
    <t>Modificări ale capitalului social majorare/(diminuare)</t>
  </si>
  <si>
    <t>Efectul cursului de schimb valutar asupra miscarii numerarului si a echivalentelor de numerar</t>
  </si>
  <si>
    <t>Cash-flow statements on June 30, 2023</t>
  </si>
  <si>
    <t>(all amounts are expressed in lei)</t>
  </si>
  <si>
    <t>Indicators</t>
  </si>
  <si>
    <t>Statement of the financial position on June 30, 2023</t>
  </si>
  <si>
    <t>ASSETS</t>
  </si>
  <si>
    <t>FIXED ASSETS</t>
  </si>
  <si>
    <t>Tangible assets</t>
  </si>
  <si>
    <t>Intangible assets</t>
  </si>
  <si>
    <t>TOTAL FIXED ASSETS</t>
  </si>
  <si>
    <t>CURRENT ASSETS</t>
  </si>
  <si>
    <t>Stocks</t>
  </si>
  <si>
    <t>Trade and similar receivables</t>
  </si>
  <si>
    <t>Cash and short-term deposits</t>
  </si>
  <si>
    <t>TOTAL CURRENT ASSETS</t>
  </si>
  <si>
    <t>TOTAL ASSETS</t>
  </si>
  <si>
    <t>EQUITY AND LIABILITIES</t>
  </si>
  <si>
    <t>EQUITY</t>
  </si>
  <si>
    <t>Subscribed capital</t>
  </si>
  <si>
    <t>Revaluation reserves</t>
  </si>
  <si>
    <t>Legal reserves and other reserves</t>
  </si>
  <si>
    <t>Retained earnings</t>
  </si>
  <si>
    <t>TOTAL EQUITY</t>
  </si>
  <si>
    <t>LONG TERM LIABILITIES</t>
  </si>
  <si>
    <t>Loans and bank liabilities</t>
  </si>
  <si>
    <t>Deferred tax liabilities</t>
  </si>
  <si>
    <t>TOTAL LONG TERM LIABILITIES</t>
  </si>
  <si>
    <t>CURRENT LIABILITIES</t>
  </si>
  <si>
    <t>Commercial and similar liabilities</t>
  </si>
  <si>
    <t>Bank loans</t>
  </si>
  <si>
    <t>Liabilities from current taxes and fees</t>
  </si>
  <si>
    <t>Subsidies for investments - non-current part</t>
  </si>
  <si>
    <t>Provisions</t>
  </si>
  <si>
    <t>TOTAL CURRENT LIABILITIES</t>
  </si>
  <si>
    <t>TOTAL LIABILITIES</t>
  </si>
  <si>
    <t>TOTAL EQUITY AND LIABILITIES</t>
  </si>
  <si>
    <t>TIN: RO 1973096</t>
  </si>
  <si>
    <t>Statement of the comprehensive income on June 30, 2023</t>
  </si>
  <si>
    <t>Revenues from contracts with clients, of which:</t>
  </si>
  <si>
    <t>Revenues from the sale of finished products</t>
  </si>
  <si>
    <t>Revenues from the sale of products made on other manufacturing sites</t>
  </si>
  <si>
    <t>Income from the provision of services</t>
  </si>
  <si>
    <t>Other operating revenues</t>
  </si>
  <si>
    <t>Income from subsidies</t>
  </si>
  <si>
    <t>Changes in stocks of finished products and production in progress</t>
  </si>
  <si>
    <t>Income from immobilization projects</t>
  </si>
  <si>
    <t>Raw materials, used consumables and products made on other manufacturing sites</t>
  </si>
  <si>
    <t>Employee benefit expenses</t>
  </si>
  <si>
    <t>Transport-related expenses</t>
  </si>
  <si>
    <t>Utility expenses</t>
  </si>
  <si>
    <t>Sponsorships, donations</t>
  </si>
  <si>
    <t>Other expenditure</t>
  </si>
  <si>
    <t xml:space="preserve"> Operational result</t>
  </si>
  <si>
    <t>Net depreciation and adjustments for the depreciation of fixed assets</t>
  </si>
  <si>
    <t>Net adjustments for depreciation of current assets</t>
  </si>
  <si>
    <t>Net refunded commissions</t>
  </si>
  <si>
    <t>Net exchange rate differences</t>
  </si>
  <si>
    <t>Net interest expenditure</t>
  </si>
  <si>
    <t>Other financial expenditure</t>
  </si>
  <si>
    <t>Financial result</t>
  </si>
  <si>
    <t>Pre-tax profit</t>
  </si>
  <si>
    <t>Income tax expenditure</t>
  </si>
  <si>
    <t>Financial year profit</t>
  </si>
  <si>
    <t>Total overall result</t>
  </si>
  <si>
    <t>Earnings per share</t>
  </si>
  <si>
    <t>Adjustments for:</t>
  </si>
  <si>
    <t>Depreciation related to tangible assets</t>
  </si>
  <si>
    <t>Expenditure/(Income) related to value adjustments of fixed assets</t>
  </si>
  <si>
    <t>Expenditure/(Income) related to inventory provisions</t>
  </si>
  <si>
    <t>Cash flow generated from operating activity before changes in working capital</t>
  </si>
  <si>
    <t>(Increases)/Decreases in receivables</t>
  </si>
  <si>
    <t>(Increases)/Decreases of stocks</t>
  </si>
  <si>
    <t>Increases / (decreases) in liabilities</t>
  </si>
  <si>
    <t>Net cash from operating activities</t>
  </si>
  <si>
    <t>Cash flows from investing activities</t>
  </si>
  <si>
    <t>Procurement of of tangible assets</t>
  </si>
  <si>
    <t>Procurement of intangible assets</t>
  </si>
  <si>
    <t>Net cash from investing activities</t>
  </si>
  <si>
    <t>Cash flows from financing activities</t>
  </si>
  <si>
    <t>Increase/(Decrease) in the use of the credit line</t>
  </si>
  <si>
    <t>Collection/(Repayment) of long-term loan</t>
  </si>
  <si>
    <t>Net cash from financing activities</t>
  </si>
  <si>
    <t>(Decrease)/Net increase in cash and cash equivalents</t>
  </si>
  <si>
    <t>Cash and cash equivalents at the beginning of the financial year</t>
  </si>
  <si>
    <t>Cash and cash equivalents at the end of the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</si>
</sst>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0.000"/>
    <numFmt numFmtId="166" formatCode="_(* #,##0_);_(* \(#,##0\);_(* &quot;-&quot;??_);_(@_)"/>
    <numFmt numFmtId="167" formatCode="#,##0.0000"/>
    <numFmt numFmtId="168" formatCode="_(* #,##0.0000_);_(* \(#,##0.00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rebuchet MS"/>
    </font>
    <font>
      <sz val="11"/>
      <name val="Calibri"/>
      <family val="2"/>
      <scheme val="minor"/>
    </font>
    <font>
      <b/>
      <sz val="10"/>
      <color rgb="FF000000"/>
      <name val="Trebuchet MS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5" fillId="0" borderId="0"/>
    <xf numFmtId="43" fontId="19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0" applyFont="1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1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165" fontId="0" fillId="0" borderId="0" xfId="0" applyNumberFormat="1" applyAlignment="1">
      <alignment horizontal="right" vertical="top" wrapText="1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12" fillId="0" borderId="0" xfId="1" applyFont="1" applyAlignment="1">
      <alignment horizontal="left"/>
    </xf>
    <xf numFmtId="0" fontId="13" fillId="0" borderId="1" xfId="0" applyFont="1" applyBorder="1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0" fontId="16" fillId="0" borderId="0" xfId="0" applyFont="1"/>
    <xf numFmtId="0" fontId="17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justify" vertical="top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8" fillId="0" borderId="0" xfId="0" applyFont="1"/>
    <xf numFmtId="3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6" fontId="0" fillId="0" borderId="0" xfId="6" applyNumberFormat="1" applyFont="1"/>
    <xf numFmtId="166" fontId="4" fillId="0" borderId="0" xfId="6" applyNumberFormat="1" applyFont="1" applyBorder="1" applyAlignment="1">
      <alignment horizontal="right" vertical="center"/>
    </xf>
    <xf numFmtId="166" fontId="3" fillId="0" borderId="0" xfId="6" applyNumberFormat="1" applyFont="1" applyBorder="1" applyAlignment="1">
      <alignment horizontal="right"/>
    </xf>
    <xf numFmtId="3" fontId="6" fillId="0" borderId="0" xfId="0" applyNumberFormat="1" applyFont="1" applyAlignment="1">
      <alignment horizontal="right" vertical="center"/>
    </xf>
    <xf numFmtId="3" fontId="0" fillId="0" borderId="0" xfId="0" applyNumberFormat="1"/>
    <xf numFmtId="0" fontId="23" fillId="0" borderId="0" xfId="0" applyFont="1" applyAlignment="1">
      <alignment vertical="center"/>
    </xf>
    <xf numFmtId="3" fontId="2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166" fontId="0" fillId="0" borderId="0" xfId="0" applyNumberFormat="1"/>
    <xf numFmtId="0" fontId="2" fillId="2" borderId="0" xfId="0" applyFont="1" applyFill="1" applyAlignment="1">
      <alignment horizontal="center"/>
    </xf>
    <xf numFmtId="3" fontId="23" fillId="2" borderId="0" xfId="0" applyNumberFormat="1" applyFont="1" applyFill="1" applyAlignment="1">
      <alignment horizontal="right" vertical="center"/>
    </xf>
    <xf numFmtId="166" fontId="23" fillId="2" borderId="0" xfId="6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7" fontId="26" fillId="0" borderId="0" xfId="0" applyNumberFormat="1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7" applyFont="1" applyAlignment="1">
      <alignment vertical="center" wrapText="1"/>
    </xf>
    <xf numFmtId="0" fontId="27" fillId="0" borderId="0" xfId="0" applyFont="1" applyAlignment="1">
      <alignment vertical="center" wrapText="1"/>
    </xf>
    <xf numFmtId="3" fontId="16" fillId="0" borderId="0" xfId="0" applyNumberFormat="1" applyFont="1"/>
    <xf numFmtId="166" fontId="1" fillId="0" borderId="0" xfId="6" applyNumberFormat="1" applyFont="1" applyAlignment="1">
      <alignment vertical="center"/>
    </xf>
    <xf numFmtId="166" fontId="22" fillId="0" borderId="0" xfId="6" applyNumberFormat="1" applyFont="1" applyFill="1" applyAlignment="1">
      <alignment vertical="center"/>
    </xf>
    <xf numFmtId="166" fontId="0" fillId="0" borderId="0" xfId="6" applyNumberFormat="1" applyFont="1" applyFill="1" applyAlignment="1">
      <alignment vertical="center"/>
    </xf>
    <xf numFmtId="166" fontId="26" fillId="0" borderId="0" xfId="6" applyNumberFormat="1" applyFont="1" applyFill="1" applyAlignment="1">
      <alignment vertical="center"/>
    </xf>
    <xf numFmtId="166" fontId="1" fillId="0" borderId="0" xfId="6" applyNumberFormat="1" applyFont="1" applyFill="1" applyAlignment="1">
      <alignment vertical="center"/>
    </xf>
    <xf numFmtId="166" fontId="0" fillId="0" borderId="0" xfId="6" applyNumberFormat="1" applyFont="1" applyAlignment="1">
      <alignment vertical="center"/>
    </xf>
    <xf numFmtId="168" fontId="26" fillId="0" borderId="0" xfId="6" applyNumberFormat="1" applyFont="1" applyAlignment="1">
      <alignment vertical="center"/>
    </xf>
    <xf numFmtId="0" fontId="9" fillId="0" borderId="0" xfId="0" applyFont="1" applyAlignment="1">
      <alignment horizontal="right"/>
    </xf>
  </cellXfs>
  <cellStyles count="8">
    <cellStyle name="Comma" xfId="6" builtinId="3"/>
    <cellStyle name="Comma 2" xfId="2" xr:uid="{00000000-0005-0000-0000-000001000000}"/>
    <cellStyle name="Normal" xfId="0" builtinId="0"/>
    <cellStyle name="Normal - Style1" xfId="7" xr:uid="{00000000-0005-0000-0000-000003000000}"/>
    <cellStyle name="Normal 2" xfId="1" xr:uid="{00000000-0005-0000-0000-000004000000}"/>
    <cellStyle name="Normal 3" xfId="4" xr:uid="{00000000-0005-0000-0000-000005000000}"/>
    <cellStyle name="Normal 4" xfId="5" xr:uid="{00000000-0005-0000-0000-000006000000}"/>
    <cellStyle name="Percent 2" xfId="3" xr:uid="{00000000-0005-0000-0000-000007000000}"/>
  </cellStyles>
  <dxfs count="25"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7:D48" totalsRowShown="0" dataDxfId="24">
  <autoFilter ref="A7:D48" xr:uid="{00000000-0009-0000-0100-000002000000}">
    <filterColumn colId="0" hiddenButton="1"/>
  </autoFilter>
  <tableColumns count="4">
    <tableColumn id="1" xr3:uid="{00000000-0010-0000-0000-000001000000}" name="Indicatori" dataDxfId="23"/>
    <tableColumn id="6" xr3:uid="{00000000-0010-0000-0000-000006000000}" name="30.06.2022" dataDxfId="22"/>
    <tableColumn id="2" xr3:uid="{00000000-0010-0000-0000-000002000000}" name="31.12.2022" dataDxfId="21"/>
    <tableColumn id="5" xr3:uid="{00000000-0010-0000-0000-000005000000}" name="30.06.2023" dataDxfId="20" dataCellStyle="Com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7:C36" totalsRowShown="0" headerRowDxfId="19" tableBorderDxfId="18" totalsRowBorderDxfId="17">
  <tableColumns count="3">
    <tableColumn id="1" xr3:uid="{00000000-0010-0000-0100-000001000000}" name="Indicators" dataDxfId="16"/>
    <tableColumn id="4" xr3:uid="{00000000-0010-0000-0100-000004000000}" name="30.06.2022" dataDxfId="15" dataCellStyle="Comma"/>
    <tableColumn id="2" xr3:uid="{00000000-0010-0000-0100-000002000000}" name="30.06.2023" dataDxfId="14" dataCellStyle="Com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7:C56" totalsRowShown="0" headerRowDxfId="13" dataDxfId="12">
  <tableColumns count="3">
    <tableColumn id="1" xr3:uid="{00000000-0010-0000-0200-000001000000}" name="Indicators" dataDxfId="11"/>
    <tableColumn id="2" xr3:uid="{00000000-0010-0000-0200-000002000000}" name="30.06.2022" dataDxfId="10"/>
    <tableColumn id="3" xr3:uid="{00000000-0010-0000-0200-000003000000}" name="30.06.2023" dataDxfId="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11" totalsRowShown="0" headerRowDxfId="8" headerRowBorderDxfId="7" tableBorderDxfId="6" totalsRowBorderDxfId="5">
  <tableColumns count="6">
    <tableColumn id="1" xr3:uid="{00000000-0010-0000-0300-000001000000}" name="Indicatori" dataDxfId="4"/>
    <tableColumn id="2" xr3:uid="{00000000-0010-0000-0300-000002000000}" name="Mod de calcul" dataDxfId="3"/>
    <tableColumn id="3" xr3:uid="{00000000-0010-0000-0300-000003000000}" name="Unitate de masura" dataDxfId="2"/>
    <tableColumn id="5" xr3:uid="{00000000-0010-0000-0300-000005000000}" name="30.06.2019" dataDxfId="1"/>
    <tableColumn id="6" xr3:uid="{00000000-0010-0000-0300-000006000000}" name="30.06.2020" dataDxfId="0"/>
    <tableColumn id="4" xr3:uid="{00000000-0010-0000-0300-000004000000}" name="30.06.20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4" zoomScale="115" zoomScaleNormal="115" workbookViewId="0">
      <selection activeCell="F20" sqref="F20"/>
    </sheetView>
  </sheetViews>
  <sheetFormatPr defaultRowHeight="15" x14ac:dyDescent="0.35"/>
  <cols>
    <col min="1" max="1" width="36.6640625" style="4" customWidth="1"/>
    <col min="2" max="2" width="13.109375" bestFit="1" customWidth="1"/>
    <col min="3" max="3" width="13.5546875" customWidth="1"/>
    <col min="4" max="4" width="14.44140625" customWidth="1"/>
    <col min="6" max="6" width="39.6640625" style="43" bestFit="1" customWidth="1"/>
    <col min="8" max="8" width="15.88671875" style="36" bestFit="1" customWidth="1"/>
  </cols>
  <sheetData>
    <row r="1" spans="1:4" x14ac:dyDescent="0.35">
      <c r="A1" s="4" t="s">
        <v>30</v>
      </c>
    </row>
    <row r="2" spans="1:4" x14ac:dyDescent="0.35">
      <c r="A2" s="4" t="s">
        <v>92</v>
      </c>
    </row>
    <row r="4" spans="1:4" ht="14.4" x14ac:dyDescent="0.3">
      <c r="A4" s="25" t="s">
        <v>60</v>
      </c>
    </row>
    <row r="5" spans="1:4" ht="14.4" x14ac:dyDescent="0.3">
      <c r="A5" s="27" t="s">
        <v>58</v>
      </c>
    </row>
    <row r="7" spans="1:4" hidden="1" x14ac:dyDescent="0.35">
      <c r="A7" s="6" t="s">
        <v>22</v>
      </c>
      <c r="B7" t="s">
        <v>29</v>
      </c>
      <c r="C7" t="s">
        <v>28</v>
      </c>
      <c r="D7" t="s">
        <v>31</v>
      </c>
    </row>
    <row r="8" spans="1:4" x14ac:dyDescent="0.35">
      <c r="A8" s="45" t="s">
        <v>59</v>
      </c>
      <c r="B8" s="46" t="s">
        <v>29</v>
      </c>
      <c r="C8" s="46" t="s">
        <v>28</v>
      </c>
      <c r="D8" s="47" t="s">
        <v>31</v>
      </c>
    </row>
    <row r="9" spans="1:4" ht="14.4" x14ac:dyDescent="0.3">
      <c r="A9" s="29" t="s">
        <v>61</v>
      </c>
      <c r="D9" s="36"/>
    </row>
    <row r="10" spans="1:4" ht="14.4" x14ac:dyDescent="0.3">
      <c r="A10" s="7" t="s">
        <v>62</v>
      </c>
      <c r="D10" s="36"/>
    </row>
    <row r="11" spans="1:4" ht="14.4" x14ac:dyDescent="0.3">
      <c r="A11" s="7" t="s">
        <v>63</v>
      </c>
      <c r="B11" s="18">
        <v>482214540</v>
      </c>
      <c r="C11" s="18">
        <v>496810361</v>
      </c>
      <c r="D11" s="18">
        <f>ROUND(189933152+222778145.6+269037629.57+10192906.46+2723452.01+30674.32+6143645.69-37347564.94-152338149.48-6893027.88,0)</f>
        <v>504260863</v>
      </c>
    </row>
    <row r="12" spans="1:4" ht="14.4" x14ac:dyDescent="0.3">
      <c r="A12" s="7" t="s">
        <v>64</v>
      </c>
      <c r="B12" s="18">
        <v>32433317</v>
      </c>
      <c r="C12" s="18">
        <v>35795943</v>
      </c>
      <c r="D12" s="18">
        <f>ROUND(30591366.68+12434553.4+21015247.14-8527757.61-13450256.16,0)</f>
        <v>42063153</v>
      </c>
    </row>
    <row r="13" spans="1:4" ht="14.4" x14ac:dyDescent="0.3">
      <c r="A13" s="7" t="s">
        <v>65</v>
      </c>
      <c r="B13" s="18">
        <v>514647857</v>
      </c>
      <c r="C13" s="18">
        <f>C11+C12</f>
        <v>532606304</v>
      </c>
      <c r="D13" s="18">
        <f>D11+D12</f>
        <v>546324016</v>
      </c>
    </row>
    <row r="14" spans="1:4" ht="14.4" x14ac:dyDescent="0.3">
      <c r="A14" s="7"/>
      <c r="B14" s="18"/>
      <c r="C14" s="18"/>
      <c r="D14" s="37"/>
    </row>
    <row r="15" spans="1:4" ht="14.4" x14ac:dyDescent="0.3">
      <c r="A15" s="7" t="s">
        <v>66</v>
      </c>
      <c r="D15" s="36"/>
    </row>
    <row r="16" spans="1:4" ht="14.4" x14ac:dyDescent="0.3">
      <c r="A16" s="7" t="s">
        <v>67</v>
      </c>
      <c r="B16" s="18">
        <v>128816326</v>
      </c>
      <c r="C16" s="18">
        <v>134133715</v>
      </c>
      <c r="D16" s="18">
        <v>161422612</v>
      </c>
    </row>
    <row r="17" spans="1:4" ht="14.4" x14ac:dyDescent="0.3">
      <c r="A17" s="7" t="s">
        <v>68</v>
      </c>
      <c r="B17" s="18">
        <f>236182559-B18</f>
        <v>233429069</v>
      </c>
      <c r="C17" s="18">
        <f>199646249-C18</f>
        <v>196402918</v>
      </c>
      <c r="D17" s="18">
        <f>245228741-D18</f>
        <v>241670595</v>
      </c>
    </row>
    <row r="18" spans="1:4" ht="14.4" x14ac:dyDescent="0.3">
      <c r="A18" s="7" t="s">
        <v>32</v>
      </c>
      <c r="B18" s="18">
        <v>2753490</v>
      </c>
      <c r="C18" s="18">
        <v>3243331</v>
      </c>
      <c r="D18" s="18">
        <v>3558146</v>
      </c>
    </row>
    <row r="19" spans="1:4" ht="14.4" x14ac:dyDescent="0.3">
      <c r="A19" s="7" t="s">
        <v>69</v>
      </c>
      <c r="B19" s="18">
        <v>3329268</v>
      </c>
      <c r="C19" s="18">
        <v>1727454</v>
      </c>
      <c r="D19" s="18">
        <f>ROUND(252673.91+110625.35+5961.69,0)</f>
        <v>369261</v>
      </c>
    </row>
    <row r="20" spans="1:4" ht="14.4" x14ac:dyDescent="0.3">
      <c r="A20" s="7" t="s">
        <v>70</v>
      </c>
      <c r="B20" s="18">
        <v>368328153</v>
      </c>
      <c r="C20" s="18">
        <f>C16+C17+C18+C19</f>
        <v>335507418</v>
      </c>
      <c r="D20" s="18">
        <f>D16+D17+D18+D19</f>
        <v>407020614</v>
      </c>
    </row>
    <row r="21" spans="1:4" x14ac:dyDescent="0.35">
      <c r="A21" s="7"/>
      <c r="B21" s="30"/>
      <c r="C21" s="18"/>
      <c r="D21" s="38"/>
    </row>
    <row r="22" spans="1:4" ht="14.4" x14ac:dyDescent="0.3">
      <c r="A22" s="41" t="s">
        <v>71</v>
      </c>
      <c r="B22" s="42">
        <v>882976010</v>
      </c>
      <c r="C22" s="42">
        <f>C13+C20</f>
        <v>868113722</v>
      </c>
      <c r="D22" s="42">
        <f>D13+D20</f>
        <v>953344630</v>
      </c>
    </row>
    <row r="23" spans="1:4" ht="14.4" x14ac:dyDescent="0.3">
      <c r="A23" s="7"/>
      <c r="B23" s="18"/>
      <c r="C23" s="18"/>
      <c r="D23" s="37"/>
    </row>
    <row r="24" spans="1:4" ht="14.4" x14ac:dyDescent="0.3">
      <c r="A24" s="35" t="s">
        <v>72</v>
      </c>
      <c r="B24" s="18"/>
      <c r="C24" s="34"/>
      <c r="D24" s="37"/>
    </row>
    <row r="25" spans="1:4" ht="14.4" x14ac:dyDescent="0.3">
      <c r="A25" s="35" t="s">
        <v>73</v>
      </c>
      <c r="B25" s="18"/>
      <c r="C25" s="34"/>
      <c r="D25" s="37"/>
    </row>
    <row r="26" spans="1:4" ht="14.4" x14ac:dyDescent="0.3">
      <c r="A26" s="35" t="s">
        <v>74</v>
      </c>
      <c r="B26" s="18">
        <v>67133804</v>
      </c>
      <c r="C26" s="18">
        <v>67133804</v>
      </c>
      <c r="D26" s="18">
        <v>67133804</v>
      </c>
    </row>
    <row r="27" spans="1:4" ht="14.4" x14ac:dyDescent="0.3">
      <c r="A27" s="7" t="s">
        <v>75</v>
      </c>
      <c r="B27" s="18">
        <v>112721465</v>
      </c>
      <c r="C27" s="18">
        <v>111164239</v>
      </c>
      <c r="D27" s="18">
        <v>109888645</v>
      </c>
    </row>
    <row r="28" spans="1:4" ht="14.4" x14ac:dyDescent="0.3">
      <c r="A28" s="35" t="s">
        <v>76</v>
      </c>
      <c r="B28" s="18">
        <f>13426761+261644439</f>
        <v>275071200</v>
      </c>
      <c r="C28" s="18">
        <v>305594766</v>
      </c>
      <c r="D28" s="18">
        <v>308266127</v>
      </c>
    </row>
    <row r="29" spans="1:4" ht="14.4" x14ac:dyDescent="0.3">
      <c r="A29" s="7" t="s">
        <v>77</v>
      </c>
      <c r="B29" s="18">
        <f>24335989+123582341+23159057</f>
        <v>171077387</v>
      </c>
      <c r="C29" s="18">
        <v>167314793</v>
      </c>
      <c r="D29" s="18">
        <v>222602840</v>
      </c>
    </row>
    <row r="30" spans="1:4" ht="14.4" x14ac:dyDescent="0.3">
      <c r="A30" s="7" t="s">
        <v>78</v>
      </c>
      <c r="B30" s="18">
        <f t="shared" ref="B30:C30" si="0">SUBTOTAL(109,B26:B29)</f>
        <v>626003856</v>
      </c>
      <c r="C30" s="18">
        <f t="shared" si="0"/>
        <v>651207602</v>
      </c>
      <c r="D30" s="18">
        <f>SUBTOTAL(109,D26:D29)</f>
        <v>707891416</v>
      </c>
    </row>
    <row r="31" spans="1:4" ht="14.4" x14ac:dyDescent="0.3">
      <c r="A31" s="7"/>
      <c r="B31" s="18"/>
      <c r="C31" s="18"/>
      <c r="D31" s="36"/>
    </row>
    <row r="32" spans="1:4" ht="14.4" x14ac:dyDescent="0.3">
      <c r="A32" s="7" t="s">
        <v>79</v>
      </c>
      <c r="D32" s="36"/>
    </row>
    <row r="33" spans="1:9" ht="14.4" x14ac:dyDescent="0.3">
      <c r="A33" s="35" t="s">
        <v>80</v>
      </c>
      <c r="B33" s="39">
        <v>52270108</v>
      </c>
      <c r="C33" s="34">
        <v>46973501</v>
      </c>
      <c r="D33" s="36">
        <v>42005673</v>
      </c>
    </row>
    <row r="34" spans="1:9" ht="14.4" x14ac:dyDescent="0.3">
      <c r="A34" s="7" t="s">
        <v>87</v>
      </c>
      <c r="B34" s="18">
        <v>2007157</v>
      </c>
      <c r="C34" s="18">
        <v>1857322</v>
      </c>
      <c r="D34" s="18">
        <v>1721869</v>
      </c>
    </row>
    <row r="35" spans="1:9" ht="14.4" x14ac:dyDescent="0.3">
      <c r="A35" s="7" t="s">
        <v>81</v>
      </c>
      <c r="B35" s="18">
        <v>30481413</v>
      </c>
      <c r="C35" s="18">
        <v>32733496</v>
      </c>
      <c r="D35" s="18">
        <v>31638512</v>
      </c>
    </row>
    <row r="36" spans="1:9" ht="14.4" x14ac:dyDescent="0.3">
      <c r="A36" s="7" t="s">
        <v>82</v>
      </c>
      <c r="B36" s="18">
        <v>84758678</v>
      </c>
      <c r="C36" s="18">
        <f>C33+C34+C35</f>
        <v>81564319</v>
      </c>
      <c r="D36" s="18">
        <f>D33+D34+D35</f>
        <v>75366054</v>
      </c>
    </row>
    <row r="37" spans="1:9" ht="14.4" x14ac:dyDescent="0.3">
      <c r="A37" s="7"/>
      <c r="B37" s="18"/>
      <c r="C37" s="18"/>
      <c r="D37" s="36"/>
    </row>
    <row r="38" spans="1:9" ht="14.4" x14ac:dyDescent="0.3">
      <c r="A38" s="7" t="s">
        <v>83</v>
      </c>
      <c r="B38" s="40"/>
      <c r="C38" s="18"/>
      <c r="D38" s="36"/>
    </row>
    <row r="39" spans="1:9" ht="14.4" x14ac:dyDescent="0.3">
      <c r="A39" s="7" t="s">
        <v>84</v>
      </c>
      <c r="B39" s="18">
        <v>95464096</v>
      </c>
      <c r="C39" s="18">
        <v>86067391</v>
      </c>
      <c r="D39" s="36">
        <v>99587821</v>
      </c>
    </row>
    <row r="40" spans="1:9" ht="14.4" x14ac:dyDescent="0.3">
      <c r="A40" s="7" t="s">
        <v>85</v>
      </c>
      <c r="B40" s="39">
        <v>63795403</v>
      </c>
      <c r="C40" s="18">
        <v>34008116</v>
      </c>
      <c r="D40" s="18">
        <v>41861422</v>
      </c>
      <c r="I40" s="44"/>
    </row>
    <row r="41" spans="1:9" ht="14.4" x14ac:dyDescent="0.3">
      <c r="A41" s="7" t="s">
        <v>86</v>
      </c>
      <c r="B41" s="18">
        <f>8112149+1085971+1034033</f>
        <v>10232153</v>
      </c>
      <c r="C41" s="18">
        <v>8280670</v>
      </c>
      <c r="D41" s="18">
        <v>16534412</v>
      </c>
    </row>
    <row r="42" spans="1:9" ht="14.4" x14ac:dyDescent="0.3">
      <c r="A42" s="7" t="s">
        <v>87</v>
      </c>
      <c r="B42" s="18">
        <v>306289</v>
      </c>
      <c r="C42" s="18">
        <v>306289</v>
      </c>
      <c r="D42" s="18">
        <v>306289</v>
      </c>
    </row>
    <row r="43" spans="1:9" ht="14.4" x14ac:dyDescent="0.3">
      <c r="A43" s="7" t="s">
        <v>88</v>
      </c>
      <c r="B43" s="18">
        <v>2415534</v>
      </c>
      <c r="C43" s="18">
        <v>6679335</v>
      </c>
      <c r="D43" s="18">
        <v>11797216</v>
      </c>
    </row>
    <row r="44" spans="1:9" ht="14.4" x14ac:dyDescent="0.3">
      <c r="A44" s="7" t="s">
        <v>89</v>
      </c>
      <c r="B44" s="18">
        <v>172213476</v>
      </c>
      <c r="C44" s="18">
        <f>SUM(C39:C43)</f>
        <v>135341801</v>
      </c>
      <c r="D44" s="18">
        <f>SUM(D39:D43)</f>
        <v>170087160</v>
      </c>
    </row>
    <row r="46" spans="1:9" ht="14.4" x14ac:dyDescent="0.3">
      <c r="A46" s="7" t="s">
        <v>90</v>
      </c>
      <c r="B46" s="18">
        <v>256972154</v>
      </c>
      <c r="C46" s="18">
        <f>C44+C36</f>
        <v>216906120</v>
      </c>
      <c r="D46" s="18">
        <f>D44+D36</f>
        <v>245453214</v>
      </c>
    </row>
    <row r="47" spans="1:9" ht="14.4" x14ac:dyDescent="0.3">
      <c r="A47" s="7"/>
      <c r="B47" s="18"/>
      <c r="C47" s="18"/>
      <c r="D47" s="36"/>
    </row>
    <row r="48" spans="1:9" ht="14.4" x14ac:dyDescent="0.3">
      <c r="A48" s="41" t="s">
        <v>91</v>
      </c>
      <c r="B48" s="42">
        <v>882976010</v>
      </c>
      <c r="C48" s="42">
        <f>C46+C30</f>
        <v>868113722</v>
      </c>
      <c r="D48" s="42">
        <f>D46+D30</f>
        <v>953344630</v>
      </c>
    </row>
  </sheetData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zoomScaleNormal="100" workbookViewId="0">
      <selection activeCell="A4" sqref="A4"/>
    </sheetView>
  </sheetViews>
  <sheetFormatPr defaultRowHeight="14.4" x14ac:dyDescent="0.3"/>
  <cols>
    <col min="1" max="1" width="53.33203125" bestFit="1" customWidth="1"/>
    <col min="2" max="3" width="13.6640625" bestFit="1" customWidth="1"/>
    <col min="5" max="5" width="39" customWidth="1"/>
    <col min="6" max="6" width="1.6640625" customWidth="1"/>
    <col min="7" max="7" width="0" hidden="1" customWidth="1"/>
    <col min="8" max="8" width="12.5546875" bestFit="1" customWidth="1"/>
    <col min="9" max="9" width="1.6640625" customWidth="1"/>
    <col min="10" max="10" width="12.5546875" bestFit="1" customWidth="1"/>
  </cols>
  <sheetData>
    <row r="1" spans="1:10" ht="15" x14ac:dyDescent="0.35">
      <c r="A1" s="4" t="s">
        <v>30</v>
      </c>
    </row>
    <row r="2" spans="1:10" ht="15" x14ac:dyDescent="0.35">
      <c r="A2" s="4" t="s">
        <v>92</v>
      </c>
    </row>
    <row r="3" spans="1:10" x14ac:dyDescent="0.3">
      <c r="A3" s="33"/>
    </row>
    <row r="4" spans="1:10" x14ac:dyDescent="0.3">
      <c r="A4" s="25" t="s">
        <v>93</v>
      </c>
    </row>
    <row r="5" spans="1:10" x14ac:dyDescent="0.3">
      <c r="A5" s="26" t="s">
        <v>58</v>
      </c>
    </row>
    <row r="6" spans="1:10" ht="15" x14ac:dyDescent="0.35">
      <c r="A6" s="2"/>
    </row>
    <row r="7" spans="1:10" ht="15" x14ac:dyDescent="0.35">
      <c r="A7" s="8" t="s">
        <v>59</v>
      </c>
      <c r="B7" s="76" t="s">
        <v>29</v>
      </c>
      <c r="C7" s="76" t="s">
        <v>31</v>
      </c>
    </row>
    <row r="8" spans="1:10" x14ac:dyDescent="0.3">
      <c r="A8" s="48" t="s">
        <v>94</v>
      </c>
      <c r="B8" s="69">
        <f>B9+B10+B11</f>
        <v>248618974</v>
      </c>
      <c r="C8" s="69">
        <f>C9+C10+C11</f>
        <v>315870916</v>
      </c>
      <c r="E8" s="48"/>
      <c r="F8" s="49"/>
      <c r="G8" s="49"/>
      <c r="H8" s="50"/>
      <c r="I8" s="49"/>
      <c r="J8" s="50"/>
    </row>
    <row r="9" spans="1:10" x14ac:dyDescent="0.3">
      <c r="A9" s="51" t="s">
        <v>95</v>
      </c>
      <c r="B9" s="70">
        <f>ROUND(251166795.72-46712918.06,0)</f>
        <v>204453878</v>
      </c>
      <c r="C9" s="70">
        <f>ROUND(302413958.1-42004024.59-879968.28,0)</f>
        <v>259529965</v>
      </c>
      <c r="E9" s="51"/>
      <c r="F9" s="52"/>
      <c r="G9" s="52"/>
      <c r="H9" s="53"/>
      <c r="I9" s="54"/>
      <c r="J9" s="53"/>
    </row>
    <row r="10" spans="1:10" ht="28.8" x14ac:dyDescent="0.3">
      <c r="A10" s="55" t="s">
        <v>96</v>
      </c>
      <c r="B10" s="70">
        <f>ROUND(50005989.94-6272657,0)</f>
        <v>43733333</v>
      </c>
      <c r="C10" s="70">
        <f>ROUND(60640688.63-4913712.16,0)+1</f>
        <v>55726977</v>
      </c>
      <c r="E10" s="55"/>
      <c r="F10" s="52"/>
      <c r="G10" s="52"/>
      <c r="H10" s="53"/>
      <c r="I10" s="54"/>
      <c r="J10" s="53"/>
    </row>
    <row r="11" spans="1:10" x14ac:dyDescent="0.3">
      <c r="A11" s="55" t="s">
        <v>97</v>
      </c>
      <c r="B11" s="70">
        <f>ROUND(3968.94+154297.8+273495.74,0)+1</f>
        <v>431763</v>
      </c>
      <c r="C11" s="70">
        <f>ROUND(238398.03+183388.14+192187.64,0)</f>
        <v>613974</v>
      </c>
      <c r="E11" s="55"/>
      <c r="F11" s="52"/>
      <c r="G11" s="52"/>
      <c r="H11" s="53"/>
      <c r="I11" s="54"/>
      <c r="J11" s="53"/>
    </row>
    <row r="12" spans="1:10" x14ac:dyDescent="0.3">
      <c r="A12" s="56" t="s">
        <v>98</v>
      </c>
      <c r="B12" s="70">
        <f>ROUND(0.02+1830457.12+66580,0)</f>
        <v>1897037</v>
      </c>
      <c r="C12" s="70">
        <f>ROUND(4178.18+661684.49,0)</f>
        <v>665863</v>
      </c>
      <c r="E12" s="56"/>
      <c r="F12" s="54"/>
      <c r="G12" s="54"/>
      <c r="H12" s="53"/>
      <c r="I12" s="54"/>
      <c r="J12" s="53"/>
    </row>
    <row r="13" spans="1:10" x14ac:dyDescent="0.3">
      <c r="A13" s="56" t="s">
        <v>99</v>
      </c>
      <c r="B13" s="70">
        <v>153144</v>
      </c>
      <c r="C13" s="70">
        <v>135453</v>
      </c>
      <c r="E13" s="56"/>
      <c r="F13" s="54"/>
      <c r="G13" s="54"/>
      <c r="H13" s="53"/>
      <c r="I13" s="54"/>
      <c r="J13" s="53"/>
    </row>
    <row r="14" spans="1:10" ht="28.8" x14ac:dyDescent="0.3">
      <c r="A14" s="56" t="s">
        <v>100</v>
      </c>
      <c r="B14" s="70">
        <f>25880818</f>
        <v>25880818</v>
      </c>
      <c r="C14" s="70">
        <f>ROUND(23775048.74+104335.91,0)</f>
        <v>23879385</v>
      </c>
      <c r="E14" s="56"/>
      <c r="F14" s="54"/>
      <c r="G14" s="54"/>
      <c r="H14" s="53"/>
      <c r="I14" s="54"/>
      <c r="J14" s="53"/>
    </row>
    <row r="15" spans="1:10" x14ac:dyDescent="0.3">
      <c r="A15" s="56" t="s">
        <v>101</v>
      </c>
      <c r="B15" s="71">
        <f>5592604</f>
        <v>5592604</v>
      </c>
      <c r="C15" s="70">
        <f>ROUND(6537066.07+45579.12,0)</f>
        <v>6582645</v>
      </c>
      <c r="E15" s="56"/>
      <c r="F15" s="57"/>
      <c r="G15" s="57"/>
      <c r="H15" s="53"/>
      <c r="I15" s="57"/>
      <c r="J15" s="58"/>
    </row>
    <row r="16" spans="1:10" ht="28.8" x14ac:dyDescent="0.3">
      <c r="A16" s="56" t="s">
        <v>102</v>
      </c>
      <c r="B16" s="71">
        <v>-104567643</v>
      </c>
      <c r="C16" s="70">
        <f>-ROUND(81591305.81+4234003.04+1113398.9+1326245.97+452631.94+372577.64+27435209.15+16851.22,0)</f>
        <v>-116542224</v>
      </c>
      <c r="E16" s="56"/>
      <c r="F16" s="57"/>
      <c r="G16" s="57"/>
      <c r="H16" s="53"/>
      <c r="I16" s="57"/>
      <c r="J16" s="58"/>
    </row>
    <row r="17" spans="1:10" x14ac:dyDescent="0.3">
      <c r="A17" s="56" t="s">
        <v>103</v>
      </c>
      <c r="B17" s="70">
        <v>-57048693</v>
      </c>
      <c r="C17" s="70">
        <f>-(1068089+61905541+15017+3114770+765532+1351599+75726)</f>
        <v>-68296274</v>
      </c>
      <c r="E17" s="56"/>
      <c r="F17" s="54"/>
      <c r="G17" s="54"/>
      <c r="H17" s="53"/>
      <c r="I17" s="59"/>
      <c r="J17" s="53"/>
    </row>
    <row r="18" spans="1:10" x14ac:dyDescent="0.3">
      <c r="A18" s="56" t="s">
        <v>104</v>
      </c>
      <c r="B18" s="70">
        <f>-ROUND(2022375.24,0)</f>
        <v>-2022375</v>
      </c>
      <c r="C18" s="70">
        <f>-ROUND(2352216.4,0)</f>
        <v>-2352216</v>
      </c>
      <c r="E18" s="56"/>
      <c r="F18" s="54"/>
      <c r="G18" s="54"/>
      <c r="H18" s="53"/>
      <c r="I18" s="54"/>
      <c r="J18" s="53"/>
    </row>
    <row r="19" spans="1:10" x14ac:dyDescent="0.3">
      <c r="A19" s="56" t="s">
        <v>105</v>
      </c>
      <c r="B19" s="70">
        <f>-ROUND(9510897.29+839422.71,0)</f>
        <v>-10350320</v>
      </c>
      <c r="C19" s="70">
        <f>-ROUND(8157363.36+1156648.65+5835480.58,0)</f>
        <v>-15149493</v>
      </c>
      <c r="E19" s="56"/>
      <c r="F19" s="54"/>
      <c r="G19" s="54"/>
      <c r="H19" s="53"/>
      <c r="I19" s="54"/>
      <c r="J19" s="53"/>
    </row>
    <row r="20" spans="1:10" ht="28.8" x14ac:dyDescent="0.3">
      <c r="A20" s="56" t="s">
        <v>109</v>
      </c>
      <c r="B20" s="70">
        <f>ROUND(244652.04-10736889.63,0)</f>
        <v>-10492238</v>
      </c>
      <c r="C20" s="70">
        <f>ROUND(-13439635.25,0)</f>
        <v>-13439635</v>
      </c>
      <c r="E20" s="56"/>
      <c r="F20" s="54"/>
      <c r="G20" s="54"/>
      <c r="H20" s="53"/>
      <c r="I20" s="54"/>
      <c r="J20" s="53"/>
    </row>
    <row r="21" spans="1:10" x14ac:dyDescent="0.3">
      <c r="A21" s="56" t="s">
        <v>110</v>
      </c>
      <c r="B21" s="70">
        <v>-16022689</v>
      </c>
      <c r="C21" s="70">
        <f>ROUND(308463.16-6857993.77,0)</f>
        <v>-6549531</v>
      </c>
      <c r="E21" s="56"/>
      <c r="F21" s="54"/>
      <c r="G21" s="54"/>
      <c r="H21" s="53"/>
      <c r="I21" s="54"/>
      <c r="J21" s="53"/>
    </row>
    <row r="22" spans="1:10" x14ac:dyDescent="0.3">
      <c r="A22" s="56" t="s">
        <v>111</v>
      </c>
      <c r="B22" s="70">
        <f>ROUND(1437996,0)</f>
        <v>1437996</v>
      </c>
      <c r="C22" s="70">
        <f>ROUND(2536832-7654713,0)</f>
        <v>-5117881</v>
      </c>
      <c r="E22" s="56"/>
      <c r="F22" s="54"/>
      <c r="G22" s="54"/>
      <c r="H22" s="53"/>
      <c r="I22" s="54"/>
      <c r="J22" s="53"/>
    </row>
    <row r="23" spans="1:10" x14ac:dyDescent="0.3">
      <c r="A23" s="56" t="s">
        <v>106</v>
      </c>
      <c r="B23" s="70">
        <f>-ROUND(186236.09,0)</f>
        <v>-186236</v>
      </c>
      <c r="C23" s="70">
        <f>-ROUND(389822.37,0)</f>
        <v>-389822</v>
      </c>
      <c r="E23" s="56"/>
      <c r="F23" s="54"/>
      <c r="G23" s="54"/>
      <c r="H23" s="53"/>
      <c r="I23" s="54"/>
      <c r="J23" s="53"/>
    </row>
    <row r="24" spans="1:10" x14ac:dyDescent="0.3">
      <c r="A24" s="56" t="s">
        <v>107</v>
      </c>
      <c r="B24" s="70">
        <f>-ROUND(689133.23+146209.63+694240.49+238376.35+488082.86+322446.81+8582683.81+281193.28+268467.49+304471.83+6163416.89+19991541.68+592400.36+4382605.98+15300.97+1909087.21+104507.65,0)</f>
        <v>-45174167</v>
      </c>
      <c r="C24" s="70">
        <f>-ROUND(870648.61+146723.17+1461687.88+443955.88+568658.7+437699.12+8774787.13+899156.49+275522+278366.12+5792617.04+23427768.72+722956.58+4140.1,0)</f>
        <v>-44104688</v>
      </c>
      <c r="E24" s="56"/>
      <c r="F24" s="54"/>
      <c r="G24" s="54"/>
      <c r="H24" s="53"/>
      <c r="I24" s="54"/>
      <c r="J24" s="53"/>
    </row>
    <row r="25" spans="1:10" x14ac:dyDescent="0.3">
      <c r="A25" s="60" t="s">
        <v>108</v>
      </c>
      <c r="B25" s="72">
        <f>SUM(B9:B24)</f>
        <v>37716212</v>
      </c>
      <c r="C25" s="72">
        <f>SUM(C9:C24)</f>
        <v>75192498</v>
      </c>
      <c r="E25" s="60"/>
      <c r="F25" s="61"/>
      <c r="G25" s="61"/>
      <c r="H25" s="62"/>
      <c r="I25" s="62"/>
      <c r="J25" s="62"/>
    </row>
    <row r="26" spans="1:10" x14ac:dyDescent="0.3">
      <c r="A26" s="56" t="s">
        <v>112</v>
      </c>
      <c r="B26" s="70">
        <f>ROUND(4317324.74-4206667.51,0)</f>
        <v>110657</v>
      </c>
      <c r="C26" s="70">
        <f>ROUND(5408523.89-5990895.55,0)+1</f>
        <v>-582371</v>
      </c>
      <c r="E26" s="56"/>
      <c r="F26" s="54"/>
      <c r="G26" s="54"/>
      <c r="H26" s="53"/>
      <c r="I26" s="54"/>
      <c r="J26" s="53"/>
    </row>
    <row r="27" spans="1:10" x14ac:dyDescent="0.3">
      <c r="A27" s="56" t="s">
        <v>113</v>
      </c>
      <c r="B27" s="70">
        <f>ROUND(394.18-2220329.97,0)</f>
        <v>-2219936</v>
      </c>
      <c r="C27" s="70">
        <f>ROUND(1382.82-2115642.72,0)</f>
        <v>-2114260</v>
      </c>
      <c r="E27" s="56"/>
      <c r="F27" s="57"/>
      <c r="G27" s="57"/>
      <c r="H27" s="53"/>
      <c r="I27" s="54"/>
      <c r="J27" s="53"/>
    </row>
    <row r="28" spans="1:10" x14ac:dyDescent="0.3">
      <c r="A28" s="56" t="s">
        <v>114</v>
      </c>
      <c r="B28" s="70">
        <f>-ROUND(100976.73,0)</f>
        <v>-100977</v>
      </c>
      <c r="C28" s="70">
        <v>77403</v>
      </c>
      <c r="E28" s="56"/>
      <c r="F28" s="57"/>
      <c r="G28" s="57"/>
      <c r="H28" s="53"/>
      <c r="I28" s="54"/>
      <c r="J28" s="53"/>
    </row>
    <row r="29" spans="1:10" x14ac:dyDescent="0.3">
      <c r="A29" s="60" t="s">
        <v>115</v>
      </c>
      <c r="B29" s="72">
        <f>SUM(B26:B28)</f>
        <v>-2210256</v>
      </c>
      <c r="C29" s="72">
        <f>SUM(C26:C28)</f>
        <v>-2619228</v>
      </c>
      <c r="E29" s="60"/>
      <c r="F29" s="61"/>
      <c r="G29" s="61"/>
      <c r="H29" s="62"/>
      <c r="I29" s="61"/>
      <c r="J29" s="62"/>
    </row>
    <row r="30" spans="1:10" x14ac:dyDescent="0.3">
      <c r="A30" s="60" t="s">
        <v>116</v>
      </c>
      <c r="B30" s="72">
        <f>B25+B29</f>
        <v>35505956</v>
      </c>
      <c r="C30" s="72">
        <f>C25+C29</f>
        <v>72573270</v>
      </c>
      <c r="E30" s="60"/>
      <c r="F30" s="61"/>
      <c r="G30" s="61"/>
      <c r="H30" s="62"/>
      <c r="I30" s="54"/>
      <c r="J30" s="62"/>
    </row>
    <row r="31" spans="1:10" x14ac:dyDescent="0.3">
      <c r="A31" s="63"/>
      <c r="B31" s="71"/>
      <c r="C31" s="71"/>
      <c r="E31" s="63"/>
      <c r="F31" s="57"/>
      <c r="G31" s="57"/>
      <c r="H31" s="58"/>
      <c r="I31" s="57"/>
      <c r="J31" s="58"/>
    </row>
    <row r="32" spans="1:10" x14ac:dyDescent="0.3">
      <c r="A32" s="63" t="s">
        <v>117</v>
      </c>
      <c r="B32" s="71">
        <v>1529991</v>
      </c>
      <c r="C32" s="71">
        <f>ROUND(11665940+161580.62-1256564.09,0)</f>
        <v>10570957</v>
      </c>
      <c r="E32" s="63"/>
      <c r="F32" s="57"/>
      <c r="G32" s="57"/>
      <c r="H32" s="58"/>
      <c r="I32" s="57"/>
      <c r="J32" s="58"/>
    </row>
    <row r="33" spans="1:10" x14ac:dyDescent="0.3">
      <c r="A33" s="48" t="s">
        <v>118</v>
      </c>
      <c r="B33" s="73">
        <f>B30-B32</f>
        <v>33975965</v>
      </c>
      <c r="C33" s="73">
        <f>C30-C32</f>
        <v>62002313</v>
      </c>
      <c r="E33" s="48"/>
      <c r="F33" s="49"/>
      <c r="G33" s="49"/>
      <c r="H33" s="50"/>
      <c r="I33" s="49"/>
      <c r="J33" s="50"/>
    </row>
    <row r="34" spans="1:10" x14ac:dyDescent="0.3">
      <c r="A34" s="56"/>
      <c r="B34" s="74"/>
      <c r="C34" s="74"/>
      <c r="E34" s="63"/>
      <c r="F34" s="57"/>
      <c r="G34" s="57"/>
      <c r="H34" s="58"/>
      <c r="I34" s="57"/>
      <c r="J34" s="58"/>
    </row>
    <row r="35" spans="1:10" x14ac:dyDescent="0.3">
      <c r="A35" s="48" t="s">
        <v>119</v>
      </c>
      <c r="B35" s="69">
        <f>B33</f>
        <v>33975965</v>
      </c>
      <c r="C35" s="69">
        <f>C33</f>
        <v>62002313</v>
      </c>
      <c r="E35" s="48"/>
      <c r="F35" s="49"/>
      <c r="G35" s="49"/>
      <c r="H35" s="50"/>
      <c r="I35" s="57"/>
      <c r="J35" s="50"/>
    </row>
    <row r="36" spans="1:10" x14ac:dyDescent="0.3">
      <c r="A36" s="60" t="s">
        <v>120</v>
      </c>
      <c r="B36" s="75">
        <f>B35/671338040</f>
        <v>5.0609324923700134E-2</v>
      </c>
      <c r="C36" s="75">
        <f>C35/671338040</f>
        <v>9.2356323201944576E-2</v>
      </c>
      <c r="E36" s="60"/>
      <c r="F36" s="57"/>
      <c r="G36" s="57"/>
      <c r="H36" s="64"/>
      <c r="I36" s="54"/>
      <c r="J36" s="6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zoomScale="115" zoomScaleNormal="115" workbookViewId="0">
      <pane ySplit="7" topLeftCell="A50" activePane="bottomLeft" state="frozen"/>
      <selection pane="bottomLeft" activeCell="C59" sqref="C59"/>
    </sheetView>
  </sheetViews>
  <sheetFormatPr defaultColWidth="9.109375" defaultRowHeight="14.4" x14ac:dyDescent="0.3"/>
  <cols>
    <col min="1" max="1" width="49.5546875" style="28" customWidth="1"/>
    <col min="2" max="2" width="12.44140625" style="25" bestFit="1" customWidth="1"/>
    <col min="3" max="3" width="13" style="25" customWidth="1"/>
    <col min="4" max="4" width="9.109375" style="25"/>
    <col min="5" max="6" width="11.88671875" style="25" bestFit="1" customWidth="1"/>
    <col min="7" max="16384" width="9.109375" style="25"/>
  </cols>
  <sheetData>
    <row r="1" spans="1:6" ht="15" x14ac:dyDescent="0.35">
      <c r="A1" s="4" t="s">
        <v>30</v>
      </c>
    </row>
    <row r="2" spans="1:6" ht="15" x14ac:dyDescent="0.35">
      <c r="A2" s="4" t="s">
        <v>92</v>
      </c>
    </row>
    <row r="3" spans="1:6" x14ac:dyDescent="0.3">
      <c r="A3" s="33"/>
    </row>
    <row r="4" spans="1:6" x14ac:dyDescent="0.3">
      <c r="A4" s="28" t="s">
        <v>57</v>
      </c>
    </row>
    <row r="5" spans="1:6" x14ac:dyDescent="0.3">
      <c r="A5" s="26" t="s">
        <v>58</v>
      </c>
    </row>
    <row r="6" spans="1:6" ht="15" x14ac:dyDescent="0.35">
      <c r="A6" s="3"/>
    </row>
    <row r="7" spans="1:6" ht="15" x14ac:dyDescent="0.35">
      <c r="A7" s="31" t="s">
        <v>59</v>
      </c>
      <c r="B7" s="32" t="s">
        <v>29</v>
      </c>
      <c r="C7" s="32" t="s">
        <v>31</v>
      </c>
    </row>
    <row r="8" spans="1:6" x14ac:dyDescent="0.3">
      <c r="A8" s="48" t="s">
        <v>116</v>
      </c>
      <c r="B8" s="62">
        <v>23159057</v>
      </c>
      <c r="C8" s="62">
        <v>62002313</v>
      </c>
      <c r="E8" s="68"/>
      <c r="F8" s="68"/>
    </row>
    <row r="9" spans="1:6" x14ac:dyDescent="0.3">
      <c r="A9" s="51" t="s">
        <v>121</v>
      </c>
      <c r="B9" s="53"/>
      <c r="C9" s="53"/>
    </row>
    <row r="10" spans="1:6" hidden="1" x14ac:dyDescent="0.3">
      <c r="A10" s="56" t="s">
        <v>34</v>
      </c>
      <c r="B10" s="53"/>
      <c r="C10" s="53"/>
    </row>
    <row r="11" spans="1:6" x14ac:dyDescent="0.3">
      <c r="A11" s="56" t="s">
        <v>122</v>
      </c>
      <c r="B11" s="53">
        <v>7334608</v>
      </c>
      <c r="C11" s="53">
        <v>12407324</v>
      </c>
    </row>
    <row r="12" spans="1:6" hidden="1" x14ac:dyDescent="0.3">
      <c r="A12" s="56" t="s">
        <v>35</v>
      </c>
      <c r="B12" s="53"/>
      <c r="C12" s="53"/>
    </row>
    <row r="13" spans="1:6" ht="28.8" x14ac:dyDescent="0.3">
      <c r="A13" s="56" t="s">
        <v>123</v>
      </c>
      <c r="B13" s="53">
        <v>-244652</v>
      </c>
      <c r="C13" s="53">
        <v>0</v>
      </c>
    </row>
    <row r="14" spans="1:6" ht="18.75" customHeight="1" x14ac:dyDescent="0.3">
      <c r="A14" s="56" t="s">
        <v>124</v>
      </c>
      <c r="B14" s="53">
        <v>16578891</v>
      </c>
      <c r="C14" s="53">
        <v>1655697</v>
      </c>
    </row>
    <row r="15" spans="1:6" ht="28.8" hidden="1" x14ac:dyDescent="0.3">
      <c r="A15" s="56" t="s">
        <v>36</v>
      </c>
      <c r="B15" s="53"/>
      <c r="C15" s="53"/>
    </row>
    <row r="16" spans="1:6" ht="28.8" hidden="1" x14ac:dyDescent="0.3">
      <c r="A16" s="56" t="s">
        <v>37</v>
      </c>
      <c r="B16" s="53"/>
      <c r="C16" s="53"/>
    </row>
    <row r="17" spans="1:3" ht="28.8" hidden="1" x14ac:dyDescent="0.3">
      <c r="A17" s="56" t="s">
        <v>38</v>
      </c>
      <c r="B17" s="53"/>
      <c r="C17" s="53"/>
    </row>
    <row r="18" spans="1:3" hidden="1" x14ac:dyDescent="0.3">
      <c r="A18" s="56" t="s">
        <v>33</v>
      </c>
      <c r="B18" s="53"/>
      <c r="C18" s="53"/>
    </row>
    <row r="19" spans="1:3" hidden="1" x14ac:dyDescent="0.3">
      <c r="A19" s="56" t="s">
        <v>39</v>
      </c>
      <c r="B19" s="53"/>
      <c r="C19" s="53"/>
    </row>
    <row r="20" spans="1:3" hidden="1" x14ac:dyDescent="0.3">
      <c r="A20" s="56" t="s">
        <v>40</v>
      </c>
      <c r="B20" s="53"/>
      <c r="C20" s="53"/>
    </row>
    <row r="21" spans="1:3" hidden="1" x14ac:dyDescent="0.3">
      <c r="A21" s="56" t="s">
        <v>41</v>
      </c>
      <c r="B21" s="53"/>
      <c r="C21" s="53"/>
    </row>
    <row r="22" spans="1:3" ht="36.75" customHeight="1" x14ac:dyDescent="0.3">
      <c r="A22" s="48" t="s">
        <v>125</v>
      </c>
      <c r="B22" s="53">
        <f>B8+B11+B14+B13</f>
        <v>46827904</v>
      </c>
      <c r="C22" s="53">
        <f>C8+C11+C14+C13</f>
        <v>76065334</v>
      </c>
    </row>
    <row r="23" spans="1:3" x14ac:dyDescent="0.3">
      <c r="A23" s="56" t="s">
        <v>126</v>
      </c>
      <c r="B23" s="53">
        <v>48756392</v>
      </c>
      <c r="C23" s="53">
        <v>-35906692</v>
      </c>
    </row>
    <row r="24" spans="1:3" hidden="1" x14ac:dyDescent="0.3">
      <c r="A24" s="56" t="s">
        <v>42</v>
      </c>
      <c r="B24" s="53"/>
      <c r="C24" s="53"/>
    </row>
    <row r="25" spans="1:3" x14ac:dyDescent="0.3">
      <c r="A25" s="56" t="s">
        <v>127</v>
      </c>
      <c r="B25" s="53">
        <v>-39377442</v>
      </c>
      <c r="C25" s="53">
        <v>-28944595</v>
      </c>
    </row>
    <row r="26" spans="1:3" x14ac:dyDescent="0.3">
      <c r="A26" s="56" t="s">
        <v>128</v>
      </c>
      <c r="B26" s="53">
        <v>-18141633</v>
      </c>
      <c r="C26" s="53">
        <v>10896612</v>
      </c>
    </row>
    <row r="27" spans="1:3" hidden="1" x14ac:dyDescent="0.3">
      <c r="A27" s="56" t="s">
        <v>43</v>
      </c>
      <c r="B27" s="53"/>
      <c r="C27" s="53"/>
    </row>
    <row r="28" spans="1:3" hidden="1" x14ac:dyDescent="0.3">
      <c r="A28" s="56" t="s">
        <v>44</v>
      </c>
      <c r="B28" s="53"/>
      <c r="C28" s="53"/>
    </row>
    <row r="29" spans="1:3" hidden="1" x14ac:dyDescent="0.3">
      <c r="A29" s="56" t="s">
        <v>45</v>
      </c>
      <c r="B29" s="53"/>
      <c r="C29" s="53"/>
    </row>
    <row r="30" spans="1:3" hidden="1" x14ac:dyDescent="0.3">
      <c r="A30" s="56" t="s">
        <v>46</v>
      </c>
      <c r="B30" s="53"/>
      <c r="C30" s="53"/>
    </row>
    <row r="31" spans="1:3" ht="16.5" customHeight="1" x14ac:dyDescent="0.3">
      <c r="A31" s="48" t="s">
        <v>129</v>
      </c>
      <c r="B31" s="53">
        <f>B23+B25+B26</f>
        <v>-8762683</v>
      </c>
      <c r="C31" s="53">
        <f>C23+C25+C26</f>
        <v>-53954675</v>
      </c>
    </row>
    <row r="32" spans="1:3" x14ac:dyDescent="0.3">
      <c r="A32" s="65"/>
      <c r="B32" s="53"/>
      <c r="C32" s="53"/>
    </row>
    <row r="33" spans="1:3" x14ac:dyDescent="0.3">
      <c r="A33" s="48" t="s">
        <v>130</v>
      </c>
      <c r="B33" s="53"/>
      <c r="C33" s="53"/>
    </row>
    <row r="34" spans="1:3" x14ac:dyDescent="0.3">
      <c r="A34" s="56" t="s">
        <v>131</v>
      </c>
      <c r="B34" s="53">
        <v>-1425321</v>
      </c>
      <c r="C34" s="53">
        <v>-7450500</v>
      </c>
    </row>
    <row r="35" spans="1:3" x14ac:dyDescent="0.3">
      <c r="A35" s="56" t="s">
        <v>132</v>
      </c>
      <c r="B35" s="53">
        <v>-2593553</v>
      </c>
      <c r="C35" s="53">
        <v>-6267210</v>
      </c>
    </row>
    <row r="36" spans="1:3" hidden="1" x14ac:dyDescent="0.3">
      <c r="A36" s="56" t="s">
        <v>47</v>
      </c>
      <c r="B36" s="53"/>
      <c r="C36" s="53"/>
    </row>
    <row r="37" spans="1:3" hidden="1" x14ac:dyDescent="0.3">
      <c r="A37" s="56" t="s">
        <v>48</v>
      </c>
      <c r="B37" s="53"/>
      <c r="C37" s="53"/>
    </row>
    <row r="38" spans="1:3" hidden="1" x14ac:dyDescent="0.3">
      <c r="A38" s="56" t="s">
        <v>49</v>
      </c>
      <c r="B38" s="53"/>
      <c r="C38" s="53"/>
    </row>
    <row r="39" spans="1:3" hidden="1" x14ac:dyDescent="0.3">
      <c r="A39" s="56" t="s">
        <v>50</v>
      </c>
      <c r="B39" s="53"/>
      <c r="C39" s="53"/>
    </row>
    <row r="40" spans="1:3" x14ac:dyDescent="0.3">
      <c r="A40" s="48" t="s">
        <v>133</v>
      </c>
      <c r="B40" s="53">
        <f>B34+B35-B11</f>
        <v>-11353482</v>
      </c>
      <c r="C40" s="53">
        <f>C34+C35-C11</f>
        <v>-26125034</v>
      </c>
    </row>
    <row r="41" spans="1:3" x14ac:dyDescent="0.3">
      <c r="A41" s="66"/>
      <c r="B41" s="53"/>
      <c r="C41" s="53"/>
    </row>
    <row r="42" spans="1:3" x14ac:dyDescent="0.3">
      <c r="A42" s="48" t="s">
        <v>134</v>
      </c>
      <c r="B42" s="53"/>
      <c r="C42" s="53"/>
    </row>
    <row r="43" spans="1:3" x14ac:dyDescent="0.3">
      <c r="A43" s="56" t="s">
        <v>135</v>
      </c>
      <c r="B43" s="53">
        <v>-2147001</v>
      </c>
      <c r="C43" s="53">
        <v>-5318500</v>
      </c>
    </row>
    <row r="44" spans="1:3" x14ac:dyDescent="0.3">
      <c r="A44" s="56" t="s">
        <v>136</v>
      </c>
      <c r="B44" s="53">
        <v>-23346848</v>
      </c>
      <c r="C44" s="53">
        <v>7974683</v>
      </c>
    </row>
    <row r="45" spans="1:3" hidden="1" x14ac:dyDescent="0.3">
      <c r="A45" s="56" t="s">
        <v>51</v>
      </c>
      <c r="B45" s="53"/>
      <c r="C45" s="53"/>
    </row>
    <row r="46" spans="1:3" hidden="1" x14ac:dyDescent="0.3">
      <c r="A46" s="56" t="s">
        <v>52</v>
      </c>
      <c r="B46" s="53"/>
      <c r="C46" s="53"/>
    </row>
    <row r="47" spans="1:3" hidden="1" x14ac:dyDescent="0.3">
      <c r="A47" s="56" t="s">
        <v>53</v>
      </c>
      <c r="B47" s="53"/>
      <c r="C47" s="53"/>
    </row>
    <row r="48" spans="1:3" hidden="1" x14ac:dyDescent="0.3">
      <c r="A48" s="56" t="s">
        <v>54</v>
      </c>
      <c r="B48" s="53"/>
      <c r="C48" s="53"/>
    </row>
    <row r="49" spans="1:3" hidden="1" x14ac:dyDescent="0.3">
      <c r="A49" s="56" t="s">
        <v>55</v>
      </c>
      <c r="B49" s="53"/>
      <c r="C49" s="53"/>
    </row>
    <row r="50" spans="1:3" x14ac:dyDescent="0.3">
      <c r="A50" s="48" t="s">
        <v>137</v>
      </c>
      <c r="B50" s="53">
        <f>B43+B44</f>
        <v>-25493849</v>
      </c>
      <c r="C50" s="53">
        <f>C43+C44</f>
        <v>2656183</v>
      </c>
    </row>
    <row r="51" spans="1:3" x14ac:dyDescent="0.3">
      <c r="A51" s="67"/>
      <c r="B51" s="53"/>
      <c r="C51" s="53"/>
    </row>
    <row r="52" spans="1:3" x14ac:dyDescent="0.3">
      <c r="A52" s="48" t="s">
        <v>138</v>
      </c>
      <c r="B52" s="53">
        <f>B50+B40+B31+B22</f>
        <v>1217890</v>
      </c>
      <c r="C52" s="53">
        <f>C50+C40+C31+C22</f>
        <v>-1358192</v>
      </c>
    </row>
    <row r="53" spans="1:3" x14ac:dyDescent="0.3">
      <c r="A53" s="65"/>
      <c r="B53" s="53"/>
      <c r="C53" s="53"/>
    </row>
    <row r="54" spans="1:3" ht="28.8" x14ac:dyDescent="0.3">
      <c r="A54" s="48" t="s">
        <v>139</v>
      </c>
      <c r="B54" s="53">
        <v>2111378</v>
      </c>
      <c r="C54" s="53">
        <v>1727453</v>
      </c>
    </row>
    <row r="55" spans="1:3" ht="28.8" hidden="1" x14ac:dyDescent="0.3">
      <c r="A55" s="56" t="s">
        <v>56</v>
      </c>
      <c r="B55" s="53"/>
      <c r="C55" s="53"/>
    </row>
    <row r="56" spans="1:3" ht="28.8" x14ac:dyDescent="0.3">
      <c r="A56" s="48" t="s">
        <v>140</v>
      </c>
      <c r="B56" s="53">
        <f>B54+B52</f>
        <v>3329268</v>
      </c>
      <c r="C56" s="53">
        <f>C54+C52</f>
        <v>369261</v>
      </c>
    </row>
    <row r="57" spans="1:3" x14ac:dyDescent="0.3">
      <c r="A57" s="56"/>
    </row>
    <row r="58" spans="1:3" x14ac:dyDescent="0.3">
      <c r="A58" s="56"/>
    </row>
    <row r="59" spans="1:3" x14ac:dyDescent="0.3">
      <c r="A59" s="56"/>
    </row>
    <row r="60" spans="1:3" x14ac:dyDescent="0.3">
      <c r="A60" s="56"/>
    </row>
    <row r="61" spans="1:3" x14ac:dyDescent="0.3">
      <c r="A61" s="56"/>
    </row>
  </sheetData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zoomScale="148" zoomScaleNormal="148" workbookViewId="0">
      <selection activeCell="I5" sqref="I5"/>
    </sheetView>
  </sheetViews>
  <sheetFormatPr defaultRowHeight="14.4" x14ac:dyDescent="0.3"/>
  <cols>
    <col min="1" max="1" width="25.88671875" customWidth="1"/>
    <col min="2" max="2" width="27.44140625" customWidth="1"/>
    <col min="3" max="4" width="14.6640625" style="1" customWidth="1"/>
    <col min="5" max="5" width="12.5546875" customWidth="1"/>
    <col min="6" max="6" width="11.5546875" bestFit="1" customWidth="1"/>
  </cols>
  <sheetData>
    <row r="1" spans="1:6" x14ac:dyDescent="0.3">
      <c r="A1" s="20" t="s">
        <v>21</v>
      </c>
    </row>
    <row r="2" spans="1:6" x14ac:dyDescent="0.3">
      <c r="A2" s="21" t="s">
        <v>20</v>
      </c>
    </row>
    <row r="3" spans="1:6" ht="15" x14ac:dyDescent="0.35">
      <c r="A3" s="2"/>
    </row>
    <row r="4" spans="1:6" ht="28.8" x14ac:dyDescent="0.3">
      <c r="A4" s="16" t="s">
        <v>22</v>
      </c>
      <c r="B4" s="16" t="s">
        <v>0</v>
      </c>
      <c r="C4" s="17" t="s">
        <v>14</v>
      </c>
      <c r="D4" s="19" t="s">
        <v>1</v>
      </c>
      <c r="E4" s="16" t="s">
        <v>26</v>
      </c>
      <c r="F4" s="22" t="s">
        <v>27</v>
      </c>
    </row>
    <row r="5" spans="1:6" x14ac:dyDescent="0.3">
      <c r="A5" s="5" t="s">
        <v>2</v>
      </c>
      <c r="B5" s="9" t="s">
        <v>3</v>
      </c>
      <c r="C5" s="10" t="s">
        <v>19</v>
      </c>
      <c r="D5" s="10">
        <v>2.13</v>
      </c>
      <c r="E5" s="12" t="e">
        <f>'Statement of the financial posi'!#REF!/'Statement of the financial posi'!#REF!</f>
        <v>#REF!</v>
      </c>
      <c r="F5" s="23" t="e">
        <f>'Statement of the financial posi'!#REF!/'Statement of the financial posi'!#REF!</f>
        <v>#REF!</v>
      </c>
    </row>
    <row r="6" spans="1:6" ht="28.8" x14ac:dyDescent="0.3">
      <c r="A6" s="5" t="s">
        <v>4</v>
      </c>
      <c r="B6" s="9" t="s">
        <v>5</v>
      </c>
      <c r="C6" s="10" t="s">
        <v>17</v>
      </c>
      <c r="D6" s="10">
        <v>28.07</v>
      </c>
      <c r="E6" s="12" t="e">
        <f>('Statement of the financial posi'!#REF!+'Statement of the financial posi'!#REF!)/'Statement of the financial posi'!#REF!*100</f>
        <v>#REF!</v>
      </c>
      <c r="F6" s="23" t="e">
        <f>('Statement of the financial posi'!#REF!+'Statement of the financial posi'!#REF!)/'Statement of the financial posi'!#REF!*100</f>
        <v>#REF!</v>
      </c>
    </row>
    <row r="7" spans="1:6" ht="28.8" x14ac:dyDescent="0.3">
      <c r="A7" s="5" t="s">
        <v>6</v>
      </c>
      <c r="B7" s="9" t="s">
        <v>7</v>
      </c>
      <c r="C7" s="10" t="s">
        <v>15</v>
      </c>
      <c r="D7" s="10">
        <v>303</v>
      </c>
      <c r="E7" s="11">
        <v>352</v>
      </c>
      <c r="F7" s="5">
        <v>248</v>
      </c>
    </row>
    <row r="8" spans="1:6" ht="28.8" x14ac:dyDescent="0.3">
      <c r="A8" s="5" t="s">
        <v>8</v>
      </c>
      <c r="B8" s="9" t="s">
        <v>9</v>
      </c>
      <c r="C8" s="10" t="s">
        <v>16</v>
      </c>
      <c r="D8" s="10">
        <v>0.52</v>
      </c>
      <c r="E8" s="12" t="e">
        <f>'Statement of the comprehensive '!#REF!/'Statement of the financial posi'!#REF!</f>
        <v>#REF!</v>
      </c>
      <c r="F8" s="24" t="e">
        <f>'Statement of the comprehensive '!B9/'Statement of the financial posi'!#REF!</f>
        <v>#REF!</v>
      </c>
    </row>
    <row r="9" spans="1:6" x14ac:dyDescent="0.3">
      <c r="A9" s="5" t="s">
        <v>23</v>
      </c>
      <c r="B9" s="9" t="s">
        <v>10</v>
      </c>
      <c r="C9" s="10" t="s">
        <v>18</v>
      </c>
      <c r="D9" s="10">
        <v>3.3000000000000002E-2</v>
      </c>
      <c r="E9" s="13">
        <v>2.8518053289517155E-2</v>
      </c>
    </row>
    <row r="10" spans="1:6" ht="23.25" customHeight="1" x14ac:dyDescent="0.3">
      <c r="A10" s="5" t="s">
        <v>11</v>
      </c>
      <c r="B10" s="9" t="s">
        <v>12</v>
      </c>
      <c r="C10" s="10" t="s">
        <v>17</v>
      </c>
      <c r="D10" s="10">
        <v>12.94</v>
      </c>
      <c r="E10" s="12">
        <v>13.07</v>
      </c>
      <c r="F10" s="23">
        <f>'Statement of the comprehensive '!B22/'Statement of the comprehensive '!B9</f>
        <v>7.0333515512970611E-3</v>
      </c>
    </row>
    <row r="11" spans="1:6" ht="28.8" x14ac:dyDescent="0.3">
      <c r="A11" s="5" t="s">
        <v>13</v>
      </c>
      <c r="B11" s="9" t="s">
        <v>24</v>
      </c>
      <c r="C11" s="14" t="s">
        <v>25</v>
      </c>
      <c r="D11" s="15">
        <v>671338040</v>
      </c>
      <c r="E11" s="15">
        <v>671338040</v>
      </c>
      <c r="F11" s="15">
        <f>Table4[[#This Row],[30.06.2020]]</f>
        <v>671338040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Statement of the financial posi</vt:lpstr>
      <vt:lpstr>Statement of the comprehensive </vt:lpstr>
      <vt:lpstr>Cash-flow statements</vt:lpstr>
      <vt:lpstr>Indicatori operationali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{7F6A7D76-89AC-4038-B686-BB66CD4C85D2} {CA9CF883-0659-4703-8517-DDC6AD2061FE} {6063418C-960B-44AA-A8A1-99A8F9E1794C} {BE86F195-CFA6-4788-8E2B-F195213FF9EB} {2BC18EA3-DA16-406B-87CA-76082D6A2242}</vt:lpwstr>
  </property>
  <property fmtid="{D5CDD505-2E9C-101B-9397-08002B2CF9AE}" pid="3" name="DLPManualFileClassificationLastModifiedBy">
    <vt:lpwstr>ANTIBIOTICE\CeraselaM</vt:lpwstr>
  </property>
  <property fmtid="{D5CDD505-2E9C-101B-9397-08002B2CF9AE}" pid="4" name="DLPManualFileClassificationLastModificationDate">
    <vt:lpwstr>1691992805</vt:lpwstr>
  </property>
  <property fmtid="{D5CDD505-2E9C-101B-9397-08002B2CF9AE}" pid="5" name="DLPManualFileClassificationVersion">
    <vt:lpwstr>11.9.100.18</vt:lpwstr>
  </property>
</Properties>
</file>